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7755" firstSheet="1" activeTab="5"/>
  </bookViews>
  <sheets>
    <sheet name="1. Datos de entrada" sheetId="1" r:id="rId1"/>
    <sheet name="2. MAE Evaluación general" sheetId="6" r:id="rId2"/>
    <sheet name="3. MAE Apagado lámparas" sheetId="15" r:id="rId3"/>
    <sheet name="4. MAE Detector presencia" sheetId="8" r:id="rId4"/>
    <sheet name="detector presencia" sheetId="9" state="hidden" r:id="rId5"/>
    <sheet name="5. MAE Retrofit" sheetId="4" r:id="rId6"/>
    <sheet name="Retrofit" sheetId="5" state="hidden" r:id="rId7"/>
    <sheet name="6. MAE Sustitucion" sheetId="11" r:id="rId8"/>
    <sheet name="Sustitución" sheetId="12" state="hidden" r:id="rId9"/>
    <sheet name="Hoja6" sheetId="7" state="hidden" r:id="rId10"/>
  </sheets>
  <definedNames>
    <definedName name="_xlnm.Print_Area" localSheetId="0">'1. Datos de entrada'!$A$1:$N$203</definedName>
    <definedName name="_xlnm.Print_Area" localSheetId="1">'2. MAE Evaluación general'!$A$1:$I$98</definedName>
    <definedName name="_xlnm.Print_Area" localSheetId="2">'3. MAE Apagado lámparas'!$A$2:$K$74</definedName>
    <definedName name="_xlnm.Print_Area" localSheetId="3">'4. MAE Detector presencia'!$A$2:$K$99</definedName>
    <definedName name="_xlnm.Print_Area" localSheetId="5">'5. MAE Retrofit'!$A$1:$I$60</definedName>
    <definedName name="_xlnm.Print_Area" localSheetId="7">'6. MAE Sustitucion'!$A$1:$O$55</definedName>
    <definedName name="_xlnm.Print_Area" localSheetId="4">'detector presencia'!$A$61:$P$63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15" l="1"/>
  <c r="G36" i="15"/>
  <c r="G37" i="15"/>
  <c r="G38" i="15"/>
  <c r="E25" i="6" l="1"/>
  <c r="E26" i="6"/>
  <c r="E27" i="6"/>
  <c r="E28" i="6"/>
  <c r="E29" i="6"/>
  <c r="E30" i="6"/>
  <c r="E31" i="6"/>
  <c r="E32" i="6"/>
  <c r="E33" i="6"/>
  <c r="E24" i="6"/>
  <c r="B84" i="1" l="1"/>
  <c r="B83" i="1"/>
  <c r="B82" i="1"/>
  <c r="B81" i="1"/>
  <c r="B80" i="1"/>
  <c r="B79" i="1"/>
  <c r="G91" i="8" l="1"/>
  <c r="F91" i="8"/>
  <c r="M10" i="11" l="1"/>
  <c r="G41" i="4"/>
  <c r="G81" i="6"/>
  <c r="G82" i="6"/>
  <c r="E44" i="11" l="1"/>
  <c r="I23" i="15"/>
  <c r="G74" i="6"/>
  <c r="G75" i="6"/>
  <c r="G76" i="6"/>
  <c r="G77" i="6"/>
  <c r="G78" i="6"/>
  <c r="G79" i="6"/>
  <c r="G80" i="6"/>
  <c r="G73" i="6"/>
  <c r="A31" i="12"/>
  <c r="H43" i="4"/>
  <c r="A29" i="5"/>
  <c r="A31" i="5"/>
  <c r="A30" i="5"/>
  <c r="I57" i="15"/>
  <c r="G57" i="15"/>
  <c r="G64" i="15" s="1"/>
  <c r="G49" i="15"/>
  <c r="I30" i="15"/>
  <c r="I45" i="8"/>
  <c r="G72" i="8"/>
  <c r="I64" i="15" l="1"/>
  <c r="G83" i="6"/>
  <c r="D87" i="6" s="1"/>
  <c r="D93" i="6" l="1"/>
  <c r="D97" i="6"/>
  <c r="G68" i="15"/>
  <c r="F68" i="15" s="1"/>
  <c r="G72" i="15" l="1"/>
  <c r="D49" i="12" l="1"/>
  <c r="C44" i="12"/>
  <c r="M29" i="11" s="1"/>
  <c r="A44" i="12"/>
  <c r="E29" i="11" s="1"/>
  <c r="C31" i="12"/>
  <c r="C45" i="12" s="1"/>
  <c r="B31" i="12"/>
  <c r="E30" i="12" s="1"/>
  <c r="C30" i="12"/>
  <c r="B30" i="12"/>
  <c r="A30" i="12"/>
  <c r="E1" i="12"/>
  <c r="M31" i="11"/>
  <c r="E38" i="11"/>
  <c r="M21" i="11"/>
  <c r="I21" i="11"/>
  <c r="E21" i="11"/>
  <c r="M18" i="11"/>
  <c r="I18" i="11"/>
  <c r="M16" i="11"/>
  <c r="I16" i="11"/>
  <c r="M14" i="11"/>
  <c r="I14" i="11"/>
  <c r="I44" i="11" s="1"/>
  <c r="M12" i="11"/>
  <c r="M34" i="11" s="1"/>
  <c r="I12" i="11"/>
  <c r="I10" i="11"/>
  <c r="B44" i="12" s="1"/>
  <c r="I29" i="11" s="1"/>
  <c r="I34" i="11" s="1"/>
  <c r="M38" i="11" l="1"/>
  <c r="M42" i="11" s="1"/>
  <c r="M44" i="11"/>
  <c r="I38" i="11"/>
  <c r="I42" i="11" s="1"/>
  <c r="E42" i="11"/>
  <c r="M40" i="11"/>
  <c r="M52" i="11" s="1"/>
  <c r="M57" i="9"/>
  <c r="M56" i="9"/>
  <c r="M55" i="9"/>
  <c r="F55" i="9"/>
  <c r="M54" i="9"/>
  <c r="F54" i="9"/>
  <c r="M53" i="9"/>
  <c r="M52" i="9"/>
  <c r="F52" i="9"/>
  <c r="M51" i="9"/>
  <c r="M50" i="9"/>
  <c r="M49" i="9"/>
  <c r="F49" i="9"/>
  <c r="A69" i="9" s="1"/>
  <c r="F48" i="9"/>
  <c r="B44" i="9"/>
  <c r="E23" i="9"/>
  <c r="D11" i="9"/>
  <c r="I5" i="9"/>
  <c r="J5" i="9" s="1"/>
  <c r="H5" i="9"/>
  <c r="I38" i="8" s="1"/>
  <c r="I4" i="9"/>
  <c r="H4" i="9"/>
  <c r="I3" i="9"/>
  <c r="H3" i="9"/>
  <c r="G80" i="8"/>
  <c r="G87" i="8" s="1"/>
  <c r="D26" i="8"/>
  <c r="G10" i="6"/>
  <c r="G11" i="6"/>
  <c r="G12" i="6"/>
  <c r="G13" i="6"/>
  <c r="G14" i="6"/>
  <c r="G15" i="6"/>
  <c r="G16" i="6"/>
  <c r="G17" i="6"/>
  <c r="G18" i="6"/>
  <c r="G9" i="6"/>
  <c r="D40" i="6"/>
  <c r="D41" i="6"/>
  <c r="D42" i="6"/>
  <c r="D43" i="6"/>
  <c r="D44" i="6"/>
  <c r="D45" i="6"/>
  <c r="D46" i="6"/>
  <c r="D47" i="6"/>
  <c r="D48" i="6"/>
  <c r="D39" i="6"/>
  <c r="C40" i="6"/>
  <c r="C41" i="6"/>
  <c r="C42" i="6"/>
  <c r="C43" i="6"/>
  <c r="C44" i="6"/>
  <c r="C45" i="6"/>
  <c r="C46" i="6"/>
  <c r="C47" i="6"/>
  <c r="C48" i="6"/>
  <c r="C39" i="6"/>
  <c r="D18" i="6"/>
  <c r="D17" i="6"/>
  <c r="D16" i="6"/>
  <c r="D15" i="6"/>
  <c r="D14" i="6"/>
  <c r="D13" i="6"/>
  <c r="D12" i="6"/>
  <c r="D11" i="6"/>
  <c r="D10" i="6"/>
  <c r="D9" i="6"/>
  <c r="H25" i="6"/>
  <c r="H26" i="6"/>
  <c r="H27" i="6"/>
  <c r="H28" i="6"/>
  <c r="H29" i="6"/>
  <c r="H30" i="6"/>
  <c r="H31" i="6"/>
  <c r="H32" i="6"/>
  <c r="H33" i="6"/>
  <c r="H24" i="6"/>
  <c r="G25" i="6"/>
  <c r="G26" i="6"/>
  <c r="G27" i="6"/>
  <c r="G28" i="6"/>
  <c r="G29" i="6"/>
  <c r="G30" i="6"/>
  <c r="G31" i="6"/>
  <c r="G32" i="6"/>
  <c r="G33" i="6"/>
  <c r="G24" i="6"/>
  <c r="F25" i="6"/>
  <c r="F26" i="6"/>
  <c r="F27" i="6"/>
  <c r="F28" i="6"/>
  <c r="F29" i="6"/>
  <c r="F30" i="6"/>
  <c r="F31" i="6"/>
  <c r="F32" i="6"/>
  <c r="F33" i="6"/>
  <c r="F24" i="6"/>
  <c r="D33" i="6"/>
  <c r="D32" i="6"/>
  <c r="D31" i="6"/>
  <c r="D30" i="6"/>
  <c r="D29" i="6"/>
  <c r="D28" i="6"/>
  <c r="D27" i="6"/>
  <c r="D26" i="6"/>
  <c r="D25" i="6"/>
  <c r="D24" i="6"/>
  <c r="C24" i="6"/>
  <c r="C25" i="6"/>
  <c r="C26" i="6"/>
  <c r="C27" i="6"/>
  <c r="C28" i="6"/>
  <c r="C29" i="6"/>
  <c r="C30" i="6"/>
  <c r="C31" i="6"/>
  <c r="C32" i="6"/>
  <c r="C33" i="6"/>
  <c r="A24" i="6"/>
  <c r="A39" i="6" s="1"/>
  <c r="A57" i="6" s="1"/>
  <c r="A73" i="6" s="1"/>
  <c r="A25" i="6"/>
  <c r="A40" i="6" s="1"/>
  <c r="A58" i="6" s="1"/>
  <c r="A74" i="6" s="1"/>
  <c r="A26" i="6"/>
  <c r="A41" i="6" s="1"/>
  <c r="A59" i="6" s="1"/>
  <c r="A75" i="6" s="1"/>
  <c r="A27" i="6"/>
  <c r="A42" i="6" s="1"/>
  <c r="A60" i="6" s="1"/>
  <c r="A76" i="6" s="1"/>
  <c r="A28" i="6"/>
  <c r="A43" i="6" s="1"/>
  <c r="A61" i="6" s="1"/>
  <c r="A77" i="6" s="1"/>
  <c r="A29" i="6"/>
  <c r="A44" i="6" s="1"/>
  <c r="A62" i="6" s="1"/>
  <c r="A78" i="6" s="1"/>
  <c r="A30" i="6"/>
  <c r="A45" i="6" s="1"/>
  <c r="A63" i="6" s="1"/>
  <c r="A79" i="6" s="1"/>
  <c r="A31" i="6"/>
  <c r="A46" i="6" s="1"/>
  <c r="A64" i="6" s="1"/>
  <c r="A80" i="6" s="1"/>
  <c r="A32" i="6"/>
  <c r="A47" i="6" s="1"/>
  <c r="A65" i="6" s="1"/>
  <c r="A81" i="6" s="1"/>
  <c r="A33" i="6"/>
  <c r="A48" i="6" s="1"/>
  <c r="A66" i="6" s="1"/>
  <c r="A82" i="6" s="1"/>
  <c r="B23" i="6"/>
  <c r="B38" i="6" s="1"/>
  <c r="B55" i="6" s="1"/>
  <c r="B71" i="6" s="1"/>
  <c r="A23" i="6"/>
  <c r="A38" i="6" s="1"/>
  <c r="A55" i="6" s="1"/>
  <c r="A71" i="6" s="1"/>
  <c r="C10" i="6"/>
  <c r="C11" i="6"/>
  <c r="C12" i="6"/>
  <c r="C13" i="6"/>
  <c r="C14" i="6"/>
  <c r="C15" i="6"/>
  <c r="C16" i="6"/>
  <c r="C17" i="6"/>
  <c r="C18" i="6"/>
  <c r="B10" i="6"/>
  <c r="B25" i="6" s="1"/>
  <c r="B40" i="6" s="1"/>
  <c r="B58" i="6" s="1"/>
  <c r="B74" i="6" s="1"/>
  <c r="B11" i="6"/>
  <c r="B26" i="6" s="1"/>
  <c r="B41" i="6" s="1"/>
  <c r="B59" i="6" s="1"/>
  <c r="B75" i="6" s="1"/>
  <c r="B12" i="6"/>
  <c r="B27" i="6" s="1"/>
  <c r="B42" i="6" s="1"/>
  <c r="B60" i="6" s="1"/>
  <c r="B76" i="6" s="1"/>
  <c r="B13" i="6"/>
  <c r="B28" i="6" s="1"/>
  <c r="B43" i="6" s="1"/>
  <c r="B61" i="6" s="1"/>
  <c r="B77" i="6" s="1"/>
  <c r="B14" i="6"/>
  <c r="B29" i="6" s="1"/>
  <c r="B44" i="6" s="1"/>
  <c r="B62" i="6" s="1"/>
  <c r="B78" i="6" s="1"/>
  <c r="B15" i="6"/>
  <c r="B30" i="6" s="1"/>
  <c r="B45" i="6" s="1"/>
  <c r="B63" i="6" s="1"/>
  <c r="B79" i="6" s="1"/>
  <c r="B16" i="6"/>
  <c r="B31" i="6" s="1"/>
  <c r="B46" i="6" s="1"/>
  <c r="B64" i="6" s="1"/>
  <c r="B80" i="6" s="1"/>
  <c r="B17" i="6"/>
  <c r="B32" i="6" s="1"/>
  <c r="B47" i="6" s="1"/>
  <c r="B65" i="6" s="1"/>
  <c r="B81" i="6" s="1"/>
  <c r="B18" i="6"/>
  <c r="B33" i="6" s="1"/>
  <c r="B48" i="6" s="1"/>
  <c r="B66" i="6" s="1"/>
  <c r="B82" i="6" s="1"/>
  <c r="B9" i="6"/>
  <c r="B24" i="6" s="1"/>
  <c r="B39" i="6" s="1"/>
  <c r="B57" i="6" s="1"/>
  <c r="B73" i="6" s="1"/>
  <c r="C9" i="6"/>
  <c r="M46" i="11" l="1"/>
  <c r="A32" i="8"/>
  <c r="A25" i="8"/>
  <c r="C49" i="9"/>
  <c r="I59" i="15" s="1"/>
  <c r="I62" i="15" s="1"/>
  <c r="E46" i="11"/>
  <c r="I40" i="11"/>
  <c r="I52" i="11" s="1"/>
  <c r="I46" i="11"/>
  <c r="A68" i="9"/>
  <c r="C48" i="9"/>
  <c r="G51" i="8"/>
  <c r="G53" i="8" s="1"/>
  <c r="I50" i="8"/>
  <c r="J3" i="9"/>
  <c r="J4" i="9"/>
  <c r="E17" i="6"/>
  <c r="H17" i="6" s="1"/>
  <c r="E13" i="6"/>
  <c r="H13" i="6" s="1"/>
  <c r="E16" i="6"/>
  <c r="H16" i="6" s="1"/>
  <c r="E15" i="6"/>
  <c r="H15" i="6" s="1"/>
  <c r="E11" i="6"/>
  <c r="H11" i="6" s="1"/>
  <c r="E12" i="6"/>
  <c r="H12" i="6" s="1"/>
  <c r="E9" i="6"/>
  <c r="H9" i="6" s="1"/>
  <c r="E18" i="6"/>
  <c r="H18" i="6" s="1"/>
  <c r="E14" i="6"/>
  <c r="H14" i="6" s="1"/>
  <c r="E10" i="6"/>
  <c r="H10" i="6" s="1"/>
  <c r="M48" i="11" l="1"/>
  <c r="M50" i="11" s="1"/>
  <c r="I87" i="8"/>
  <c r="I80" i="8"/>
  <c r="I82" i="8"/>
  <c r="I85" i="8"/>
  <c r="G82" i="8"/>
  <c r="G85" i="8" s="1"/>
  <c r="G89" i="8" s="1"/>
  <c r="G59" i="15"/>
  <c r="I48" i="11"/>
  <c r="I50" i="11" s="1"/>
  <c r="G52" i="8"/>
  <c r="J6" i="9"/>
  <c r="I66" i="15" s="1"/>
  <c r="I89" i="8" l="1"/>
  <c r="G93" i="8" s="1"/>
  <c r="I83" i="8"/>
  <c r="G62" i="15"/>
  <c r="I60" i="15"/>
  <c r="G97" i="8"/>
  <c r="H95" i="8" l="1"/>
  <c r="G66" i="15"/>
  <c r="G70" i="15" s="1"/>
  <c r="C95" i="8"/>
  <c r="G95" i="8"/>
  <c r="F2" i="5" l="1"/>
  <c r="E9" i="4" s="1"/>
  <c r="G43" i="4"/>
  <c r="E41" i="4"/>
  <c r="E43" i="4" s="1"/>
  <c r="E45" i="4" l="1"/>
  <c r="G45" i="4"/>
  <c r="G47" i="4" s="1"/>
  <c r="B200" i="1"/>
  <c r="B62" i="1"/>
  <c r="B115" i="1" s="1"/>
  <c r="B132" i="1" s="1"/>
  <c r="B147" i="1" s="1"/>
  <c r="B162" i="1" s="1"/>
  <c r="B177" i="1" s="1"/>
  <c r="B63" i="1"/>
  <c r="B116" i="1" s="1"/>
  <c r="B133" i="1" s="1"/>
  <c r="B148" i="1" s="1"/>
  <c r="B163" i="1" s="1"/>
  <c r="B178" i="1" s="1"/>
  <c r="B192" i="1" s="1"/>
  <c r="B64" i="1"/>
  <c r="B117" i="1" s="1"/>
  <c r="B134" i="1" s="1"/>
  <c r="B149" i="1" s="1"/>
  <c r="B164" i="1" s="1"/>
  <c r="B179" i="1" s="1"/>
  <c r="B193" i="1" s="1"/>
  <c r="B65" i="1"/>
  <c r="B118" i="1" s="1"/>
  <c r="B135" i="1" s="1"/>
  <c r="B150" i="1" s="1"/>
  <c r="B165" i="1" s="1"/>
  <c r="B180" i="1" s="1"/>
  <c r="B194" i="1" s="1"/>
  <c r="B66" i="1"/>
  <c r="B119" i="1" s="1"/>
  <c r="B136" i="1" s="1"/>
  <c r="B151" i="1" s="1"/>
  <c r="B166" i="1" s="1"/>
  <c r="B181" i="1" s="1"/>
  <c r="B195" i="1" s="1"/>
  <c r="B67" i="1"/>
  <c r="B120" i="1" s="1"/>
  <c r="B137" i="1" s="1"/>
  <c r="B152" i="1" s="1"/>
  <c r="B167" i="1" s="1"/>
  <c r="B182" i="1" s="1"/>
  <c r="B196" i="1" s="1"/>
  <c r="B68" i="1"/>
  <c r="B121" i="1" s="1"/>
  <c r="B138" i="1" s="1"/>
  <c r="B153" i="1" s="1"/>
  <c r="B168" i="1" s="1"/>
  <c r="B183" i="1" s="1"/>
  <c r="B197" i="1" s="1"/>
  <c r="B69" i="1"/>
  <c r="B122" i="1" s="1"/>
  <c r="B139" i="1" s="1"/>
  <c r="B154" i="1" s="1"/>
  <c r="B169" i="1" s="1"/>
  <c r="B184" i="1" s="1"/>
  <c r="B198" i="1" s="1"/>
  <c r="B70" i="1"/>
  <c r="B123" i="1" s="1"/>
  <c r="B140" i="1" s="1"/>
  <c r="B155" i="1" s="1"/>
  <c r="B170" i="1" s="1"/>
  <c r="B185" i="1" s="1"/>
  <c r="B199" i="1" s="1"/>
  <c r="B61" i="1"/>
  <c r="B114" i="1" s="1"/>
  <c r="B131" i="1" s="1"/>
  <c r="B146" i="1" s="1"/>
  <c r="B161" i="1" s="1"/>
  <c r="B176" i="1" s="1"/>
  <c r="B191" i="1" s="1"/>
  <c r="E47" i="4" l="1"/>
  <c r="F51" i="4" s="1"/>
  <c r="F49" i="4"/>
  <c r="E49" i="4" s="1"/>
  <c r="F57" i="4" l="1"/>
  <c r="F55" i="4"/>
</calcChain>
</file>

<file path=xl/sharedStrings.xml><?xml version="1.0" encoding="utf-8"?>
<sst xmlns="http://schemas.openxmlformats.org/spreadsheetml/2006/main" count="1024" uniqueCount="349">
  <si>
    <t>FORMATO DE RECOPILACIÓN DE DATOS</t>
  </si>
  <si>
    <t>Razón social</t>
  </si>
  <si>
    <t>Fecha del taller de Eficiencia Energética</t>
  </si>
  <si>
    <t>Antigüedad (años)</t>
  </si>
  <si>
    <t>#</t>
  </si>
  <si>
    <t>En caso de que si, de que tipo?</t>
  </si>
  <si>
    <t>SISTEMAS DE ILUMINACIÓN</t>
  </si>
  <si>
    <t>I. Características del edificio</t>
  </si>
  <si>
    <t>I.1 Uso y actividades realizadas</t>
  </si>
  <si>
    <t>II. Levantamiento de equipos</t>
  </si>
  <si>
    <t>III. Confort visual</t>
  </si>
  <si>
    <t>Establecimiento comercial</t>
  </si>
  <si>
    <t>Oficina</t>
  </si>
  <si>
    <t>Hospital</t>
  </si>
  <si>
    <t>Hotel</t>
  </si>
  <si>
    <t>Bodegas</t>
  </si>
  <si>
    <t>Escuela o centro docente</t>
  </si>
  <si>
    <t>Restaurante</t>
  </si>
  <si>
    <t>Recreación y cultura</t>
  </si>
  <si>
    <t>Taller de servicio</t>
  </si>
  <si>
    <t>Central de pasajeros</t>
  </si>
  <si>
    <t>En exterior</t>
  </si>
  <si>
    <t>Patios y estacionamientos</t>
  </si>
  <si>
    <t>En interior</t>
  </si>
  <si>
    <t>Área de tránsito, estacionamiento interior</t>
  </si>
  <si>
    <t>Área de circulación y pasillo</t>
  </si>
  <si>
    <t>Tareas de inspección visual (recuento de piezas)</t>
  </si>
  <si>
    <t>Tareas con distinción moderada de detalles (ensamble, oficinas)</t>
  </si>
  <si>
    <t>Tareas con distinción clara de detalles (sala de computo, laboratorio, área de dibujo)</t>
  </si>
  <si>
    <t>Tareas con distinción fina de detalles (talleres de pintura, laboratorios de control de calidad)</t>
  </si>
  <si>
    <t>Tareas con alta exactitud en la distinción de detalles (ensamble y inspección de piezas complejas y acabados con pulidos finos)</t>
  </si>
  <si>
    <t>Tareas con alta grado de especialización en la distinción de detalles (ensamble de piezas muy pequeñas por tiempos prolongados)</t>
  </si>
  <si>
    <r>
      <t xml:space="preserve">Tipo de actividades realizadas:  </t>
    </r>
    <r>
      <rPr>
        <i/>
        <sz val="11"/>
        <color rgb="FF0070C0"/>
        <rFont val="Arial"/>
        <family val="2"/>
      </rPr>
      <t>(indicar la cantidad de áreas de este tipo)</t>
    </r>
  </si>
  <si>
    <t>Área</t>
  </si>
  <si>
    <t>Actividad desarrollada</t>
  </si>
  <si>
    <t>Tipo de ocupación (personal parado, sentado, maquinarias)</t>
  </si>
  <si>
    <t>Nombre del área</t>
  </si>
  <si>
    <r>
      <t>Superficie (m</t>
    </r>
    <r>
      <rPr>
        <vertAlign val="superscript"/>
        <sz val="11"/>
        <color theme="1"/>
        <rFont val="Arial"/>
        <family val="2"/>
      </rPr>
      <t>2</t>
    </r>
    <r>
      <rPr>
        <sz val="11"/>
        <color theme="1"/>
        <rFont val="Arial"/>
        <family val="2"/>
      </rPr>
      <t>)</t>
    </r>
  </si>
  <si>
    <r>
      <t>Resumen de áreas:</t>
    </r>
    <r>
      <rPr>
        <i/>
        <sz val="11"/>
        <color rgb="FF0070C0"/>
        <rFont val="Arial"/>
        <family val="2"/>
      </rPr>
      <t xml:space="preserve"> Indicar en la tabla abajo las diferentes áreas iluminadas en función de la clasificación anterior de áreas</t>
    </r>
  </si>
  <si>
    <t>Ventana (SI/NO)</t>
  </si>
  <si>
    <t>Cortinas (SI/NO)</t>
  </si>
  <si>
    <t>Se aprovecha la luz natural (SI/NO)</t>
  </si>
  <si>
    <r>
      <t xml:space="preserve">Color de paredes
</t>
    </r>
    <r>
      <rPr>
        <sz val="9"/>
        <color theme="1"/>
        <rFont val="Arial"/>
        <family val="2"/>
      </rPr>
      <t>(muy claro, claro, mediano, oscuro)</t>
    </r>
  </si>
  <si>
    <t>Completar las tablas siguientes con los datos de cada luminaria en las áreas identificadas</t>
  </si>
  <si>
    <t>Tipo luminaria</t>
  </si>
  <si>
    <t>Cantidad de luminarias</t>
  </si>
  <si>
    <t>Tipo de lámpara</t>
  </si>
  <si>
    <t>Potencia de cada lámpara (Watt)</t>
  </si>
  <si>
    <t>Cantidad de lámpara por luminaria</t>
  </si>
  <si>
    <t>Tipo de balastro</t>
  </si>
  <si>
    <t>V. Horarios de funcionamiento</t>
  </si>
  <si>
    <t>VI. Gestión operativa</t>
  </si>
  <si>
    <r>
      <t xml:space="preserve">Estado de las luminarias 
</t>
    </r>
    <r>
      <rPr>
        <sz val="9"/>
        <color theme="1"/>
        <rFont val="Arial"/>
        <family val="2"/>
      </rPr>
      <t>(limpio, medio, sucio)</t>
    </r>
  </si>
  <si>
    <t>Existe programa de mantenimiento preventivo
(SI/NO)</t>
  </si>
  <si>
    <t>Cantidad de lámparas fundidas</t>
  </si>
  <si>
    <t>En caso de "si", frecuencia de mantenimiento?</t>
  </si>
  <si>
    <t>En caso de "si", actividades de mantenimiento?</t>
  </si>
  <si>
    <t>Existe un programa para sustitución de lámparas?</t>
  </si>
  <si>
    <t>Al remplazar las lámparas fundidas, se busca una alternativa más eficiente?</t>
  </si>
  <si>
    <t>IV.2 De las áreas iluminadas</t>
  </si>
  <si>
    <t>IV. Del sistema de iluminación</t>
  </si>
  <si>
    <t>Hace falta pintar las paredes?</t>
  </si>
  <si>
    <t>Ventanas limpias?</t>
  </si>
  <si>
    <t>Hora de funcionamiento de las luminarias (hr/días)</t>
  </si>
  <si>
    <t>Días por semana de funcionamiento de luminarias</t>
  </si>
  <si>
    <t>Semanas al año de funcionamiento de luminarias</t>
  </si>
  <si>
    <t>Horas al día de ocupación de las áreas por el personal</t>
  </si>
  <si>
    <t>Áreas que se quedan prendidas</t>
  </si>
  <si>
    <t>Comentarios sobre los horarios de operación</t>
  </si>
  <si>
    <t>Existe un sistema de control? 
(SI/NO)</t>
  </si>
  <si>
    <t>Quien enciende y apaga las luminarias?</t>
  </si>
  <si>
    <t>Comentarios sobre los usos y costumbres de encendido y apagado</t>
  </si>
  <si>
    <t>La luz artificial permite distinguir correctamente los colores?
(SI/NO)</t>
  </si>
  <si>
    <t>Nivel de iluminación suficiente? 
(SI/NO)</t>
  </si>
  <si>
    <t>Nivel de iluminación uniforme?
 (SI/NO)</t>
  </si>
  <si>
    <t>Aparecen reflexiones sobre el plan de trabajo?
(SI/NO)</t>
  </si>
  <si>
    <t>Ausencia de deslumbramiento? 
(SI/NO)</t>
  </si>
  <si>
    <t>Se queda prendido la luz en un local que recibe luz natural?</t>
  </si>
  <si>
    <t>Se queda prendido la luz aunque el espacio no está ocupado?</t>
  </si>
  <si>
    <t>Está iluminada toda el área mientras solamente se ocupa una sola parte?</t>
  </si>
  <si>
    <t>Se queda iluminado todo el tiempo un área aunque se use solamente unas veces por día?</t>
  </si>
  <si>
    <t>I.2 Características de los espacios iluminados</t>
  </si>
  <si>
    <t>lux</t>
  </si>
  <si>
    <t>m</t>
  </si>
  <si>
    <t>W</t>
  </si>
  <si>
    <t>W/m²</t>
  </si>
  <si>
    <t>Incandescente</t>
  </si>
  <si>
    <t>Sodium HP confort</t>
  </si>
  <si>
    <t>IV. Mantenimiento</t>
  </si>
  <si>
    <t>Medida de Ahorro de Energía:
EVALUACIÓN GENERAL</t>
  </si>
  <si>
    <t>Tipo de edificio</t>
  </si>
  <si>
    <r>
      <t>DPEA (W/m</t>
    </r>
    <r>
      <rPr>
        <b/>
        <vertAlign val="superscript"/>
        <sz val="11"/>
        <color theme="1"/>
        <rFont val="Arial"/>
        <family val="2"/>
      </rPr>
      <t>2</t>
    </r>
    <r>
      <rPr>
        <b/>
        <sz val="11"/>
        <color theme="1"/>
        <rFont val="Arial"/>
        <family val="2"/>
      </rPr>
      <t>)</t>
    </r>
  </si>
  <si>
    <t>Oficinas</t>
  </si>
  <si>
    <t>Escuelas o instituciones educativas</t>
  </si>
  <si>
    <t>Bibliotecas</t>
  </si>
  <si>
    <t>Tiendas de autoservicio, departamentales y de especialidades</t>
  </si>
  <si>
    <t>Hospitales, sanatorios y clínicas</t>
  </si>
  <si>
    <t>Hoteles</t>
  </si>
  <si>
    <t>Moteles</t>
  </si>
  <si>
    <t>Restaurantes</t>
  </si>
  <si>
    <t>Bares</t>
  </si>
  <si>
    <t>Cafeterías y venta de comida rápida</t>
  </si>
  <si>
    <t>Bodegas o áreas de almacenamiento</t>
  </si>
  <si>
    <t>Salas de cine</t>
  </si>
  <si>
    <t>Teatros</t>
  </si>
  <si>
    <t>Centros de convenciones</t>
  </si>
  <si>
    <t>Gimnasios y centros deportivos</t>
  </si>
  <si>
    <t>Museos</t>
  </si>
  <si>
    <t>Templos</t>
  </si>
  <si>
    <t>Talleres de servicio para automóviles</t>
  </si>
  <si>
    <t>Talleres</t>
  </si>
  <si>
    <t>Centrales y terminales de transporte de carga</t>
  </si>
  <si>
    <t>Centrales y terminales de transporte de pasajeros, aéreas y terrestres</t>
  </si>
  <si>
    <t>Potencia eléctrica instalada (W)</t>
  </si>
  <si>
    <t>Factor de corrección por balastro</t>
  </si>
  <si>
    <t>Resultado</t>
  </si>
  <si>
    <t>1/ Cumplimiento normatividad NOM-007-ENER-2014</t>
  </si>
  <si>
    <r>
      <t>DPEA según NOM-007-ENER-2014 (W/m</t>
    </r>
    <r>
      <rPr>
        <b/>
        <vertAlign val="superscript"/>
        <sz val="10"/>
        <color theme="1"/>
        <rFont val="Arial"/>
        <family val="2"/>
      </rPr>
      <t>2</t>
    </r>
    <r>
      <rPr>
        <b/>
        <sz val="10"/>
        <color theme="1"/>
        <rFont val="Arial"/>
        <family val="2"/>
      </rPr>
      <t>)</t>
    </r>
  </si>
  <si>
    <t>Seleccionar en la columna "Tipo de edificio", el tipo de edificio para cada área, en el menú.</t>
  </si>
  <si>
    <t>2/ Confort</t>
  </si>
  <si>
    <t>Nivel de iluminación</t>
  </si>
  <si>
    <t>Reflexiones</t>
  </si>
  <si>
    <t>Deslumbramiento</t>
  </si>
  <si>
    <t>Colores</t>
  </si>
  <si>
    <t>Sombras</t>
  </si>
  <si>
    <t>3/ Mantenimiento</t>
  </si>
  <si>
    <r>
      <t>Superficie (m</t>
    </r>
    <r>
      <rPr>
        <b/>
        <vertAlign val="superscript"/>
        <sz val="11"/>
        <color theme="1"/>
        <rFont val="Arial"/>
        <family val="2"/>
      </rPr>
      <t>2</t>
    </r>
    <r>
      <rPr>
        <b/>
        <sz val="11"/>
        <color theme="1"/>
        <rFont val="Arial"/>
        <family val="2"/>
      </rPr>
      <t>)</t>
    </r>
  </si>
  <si>
    <t>Área limpia</t>
  </si>
  <si>
    <t>Programa de mantenimiento</t>
  </si>
  <si>
    <t>h</t>
  </si>
  <si>
    <t>Incandescentes</t>
  </si>
  <si>
    <t>choix</t>
  </si>
  <si>
    <t>LED</t>
  </si>
  <si>
    <t>BE</t>
  </si>
  <si>
    <t>BC</t>
  </si>
  <si>
    <t>x</t>
  </si>
  <si>
    <t>?</t>
  </si>
  <si>
    <t>SI(Feuil1!F14&lt;10;SI(Feuil2!C11&lt;4;SI(Feuil2!C11=1;1000;2000);SI(Feuil2!D22=4;SI(Feuil2!C4=1;(Feuil1!F14/60+Feuil1!F55/60)*406,09+11939;(Feuil1!F14+Feuil1!F55/60)*406,09+11939);SI(Feuil2!C4=1;</t>
  </si>
  <si>
    <t>(Feuil1!F14/60+Feuil1!F55/60)*812,18+3878,2;(Feuil1!F14+Feuil1!F55/60)*812,18+3878,2)));SI(Feuil2!C11&lt;4;SI(Feuil2!C11=1;1000;2000);SI(Feuil2!D22=4;16000;12000)))</t>
  </si>
  <si>
    <t>Medida de Ahorro de Energía:
APAGADO DE LÁMPARAS</t>
  </si>
  <si>
    <t>Medida de Ahorro de Energía:
DETECTOR DE PRESENCIA</t>
  </si>
  <si>
    <t>h/día</t>
  </si>
  <si>
    <t>de 7 a.m. a 10 p.m.</t>
  </si>
  <si>
    <t>días/año</t>
  </si>
  <si>
    <t>de 10 p.m. a 7 a.m.</t>
  </si>
  <si>
    <t>1/ Horarios de funcionamiento actual</t>
  </si>
  <si>
    <t>2/ Ocupación actual</t>
  </si>
  <si>
    <t>Se enciende el alumbrado del área:</t>
  </si>
  <si>
    <t>Tiempo de ocupación del área:</t>
  </si>
  <si>
    <t>frecuentación actual</t>
  </si>
  <si>
    <t>minutas</t>
  </si>
  <si>
    <t>horas</t>
  </si>
  <si>
    <t>celda vinculada</t>
  </si>
  <si>
    <t>Antigua fórmula de la duración de vida :</t>
  </si>
  <si>
    <t>ocupación</t>
  </si>
  <si>
    <t>Aleatoria (durante el día)</t>
  </si>
  <si>
    <t>de noche</t>
  </si>
  <si>
    <t>Regular (durante el día)</t>
  </si>
  <si>
    <t>presencia (h)</t>
  </si>
  <si>
    <t>intervalo (h)</t>
  </si>
  <si>
    <t>total/día</t>
  </si>
  <si>
    <t>h/d</t>
  </si>
  <si>
    <t>Tubos fluorescentes de larga duración</t>
  </si>
  <si>
    <t>Tubos fluorescentes tipo 830/840</t>
  </si>
  <si>
    <t>Fluocompactas con balastro incorporado</t>
  </si>
  <si>
    <t>Fluocompactas sin balastro incorporado</t>
  </si>
  <si>
    <t>selección</t>
  </si>
  <si>
    <t>(ninguno)</t>
  </si>
  <si>
    <t>Electromagnéticos</t>
  </si>
  <si>
    <t>Electrónicos sin precalentamiento</t>
  </si>
  <si>
    <t>Electrónicos con precalentamiento</t>
  </si>
  <si>
    <t>Precio bruto de las lámparas</t>
  </si>
  <si>
    <t>para todas</t>
  </si>
  <si>
    <t>Potencia en W</t>
  </si>
  <si>
    <t>Halógenas Baja Temp.</t>
  </si>
  <si>
    <t>Halógenas Alta Temp.</t>
  </si>
  <si>
    <t>precio seleccionado</t>
  </si>
  <si>
    <t>vida útil de las lámparas</t>
  </si>
  <si>
    <t>situación existente</t>
  </si>
  <si>
    <t>situación futura</t>
  </si>
  <si>
    <t>tiempo de encendido contínuo en horas</t>
  </si>
  <si>
    <t>Tiempo de permanencia en horas</t>
  </si>
  <si>
    <t>Tiempo de permanencia</t>
  </si>
  <si>
    <t>Intervalo de tiempos entre 2 permanencias</t>
  </si>
  <si>
    <t>Ocupación nocturna (vigilancia):</t>
  </si>
  <si>
    <t>Ocupación diaria regular (generalmente, acorde a un horario):</t>
  </si>
  <si>
    <t>Ocupación diaria ocasional:</t>
  </si>
  <si>
    <t>3/ Tipo de iluminación</t>
  </si>
  <si>
    <t>Tipo de lámpara:</t>
  </si>
  <si>
    <t>Tipo de balastro:</t>
  </si>
  <si>
    <t>Potencia de la lámpara</t>
  </si>
  <si>
    <t>Cantidad de lámparas</t>
  </si>
  <si>
    <t>lámparas</t>
  </si>
  <si>
    <t>$/lámparas</t>
  </si>
  <si>
    <t>Precio de una lámpara</t>
  </si>
  <si>
    <t>Costo de la mano de obra para</t>
  </si>
  <si>
    <t xml:space="preserve"> la sustitución de las lámparas</t>
  </si>
  <si>
    <t>4/ Inversión</t>
  </si>
  <si>
    <t>Costo de un detector de presencia</t>
  </si>
  <si>
    <t>$ (con instalación)</t>
  </si>
  <si>
    <t>detectores</t>
  </si>
  <si>
    <t>Cantidad de detectores requeridos</t>
  </si>
  <si>
    <t>Precio promedio de energía</t>
  </si>
  <si>
    <t>Prix net HTVA par défaut</t>
  </si>
  <si>
    <t>-</t>
  </si>
  <si>
    <t>50 W</t>
  </si>
  <si>
    <t>70 W</t>
  </si>
  <si>
    <t>100 W</t>
  </si>
  <si>
    <t>150 W</t>
  </si>
  <si>
    <t>80 W</t>
  </si>
  <si>
    <t>125 W</t>
  </si>
  <si>
    <t>250 W</t>
  </si>
  <si>
    <t>400 W</t>
  </si>
  <si>
    <t>68 W</t>
  </si>
  <si>
    <t>110 W</t>
  </si>
  <si>
    <t>220 W</t>
  </si>
  <si>
    <t>350 W</t>
  </si>
  <si>
    <t>sodium</t>
  </si>
  <si>
    <t>$/lámpara</t>
  </si>
  <si>
    <t>Precio medio del kWh</t>
  </si>
  <si>
    <t>$/kWh</t>
  </si>
  <si>
    <t>5/ Resultados</t>
  </si>
  <si>
    <t>h/año</t>
  </si>
  <si>
    <t>Situación actual</t>
  </si>
  <si>
    <t>Situación futura</t>
  </si>
  <si>
    <t>$/año</t>
  </si>
  <si>
    <t>kWh/año</t>
  </si>
  <si>
    <t>Tiempo de funcionamiento</t>
  </si>
  <si>
    <t>Vida útil de las lámparas</t>
  </si>
  <si>
    <t>Costo de sustitución de las lámparas</t>
  </si>
  <si>
    <t>Consumo de energía eléctrico anual</t>
  </si>
  <si>
    <t>Costo de energía anual</t>
  </si>
  <si>
    <t>Ahorro energético anual</t>
  </si>
  <si>
    <t>Ahorro económico</t>
  </si>
  <si>
    <t>Emisiones anuales de CO2 evitadas:</t>
  </si>
  <si>
    <t>Factor de emisión de electricidad considerado</t>
  </si>
  <si>
    <r>
      <t>kgCO</t>
    </r>
    <r>
      <rPr>
        <i/>
        <vertAlign val="subscript"/>
        <sz val="10"/>
        <rFont val="Arial"/>
        <family val="2"/>
      </rPr>
      <t>2</t>
    </r>
    <r>
      <rPr>
        <i/>
        <sz val="10"/>
        <rFont val="Arial"/>
        <family val="2"/>
      </rPr>
      <t>e/kWh</t>
    </r>
  </si>
  <si>
    <r>
      <t>kgCO</t>
    </r>
    <r>
      <rPr>
        <b/>
        <vertAlign val="subscript"/>
        <sz val="11"/>
        <color rgb="FFFF0000"/>
        <rFont val="Arial"/>
        <family val="2"/>
      </rPr>
      <t>2</t>
    </r>
    <r>
      <rPr>
        <b/>
        <sz val="11"/>
        <color rgb="FFFF0000"/>
        <rFont val="Arial"/>
        <family val="2"/>
      </rPr>
      <t>e/año</t>
    </r>
  </si>
  <si>
    <t>4/ Resultados</t>
  </si>
  <si>
    <t>2/ Horarios de funcionamiento optimizados</t>
  </si>
  <si>
    <t>Se optimizan los horarios de funcionamiento:</t>
  </si>
  <si>
    <t xml:space="preserve">al apagar lámparas no requeridas o al aprovechar la luz natural, </t>
  </si>
  <si>
    <t>4/ Costo de energía</t>
  </si>
  <si>
    <t>Nivel de iluminación lux</t>
  </si>
  <si>
    <t>Celda vinculada</t>
  </si>
  <si>
    <t>Selección</t>
  </si>
  <si>
    <t>Potencia específica</t>
  </si>
  <si>
    <t>Áreas exteriores</t>
  </si>
  <si>
    <t>Áreas internas de poco movimiento</t>
  </si>
  <si>
    <t>Áreas internas de circulación y espera</t>
  </si>
  <si>
    <t>Áreas de almacen, recepción, etc.</t>
  </si>
  <si>
    <t>Talleres de precisión</t>
  </si>
  <si>
    <t>Salas de cómputo, de dibujo</t>
  </si>
  <si>
    <t>Laboratorios</t>
  </si>
  <si>
    <t>Talleres de alta precisión</t>
  </si>
  <si>
    <t>Proceso: inspección de piezas</t>
  </si>
  <si>
    <t>Proceso de gran exactitud</t>
  </si>
  <si>
    <t>Tipo de lámparas</t>
  </si>
  <si>
    <t>Halógena</t>
  </si>
  <si>
    <t>Tubo fluorescente T12</t>
  </si>
  <si>
    <t xml:space="preserve">Tubo fluorescente T8 </t>
  </si>
  <si>
    <t>Tubo fluorescente  T8 tipo 840/830</t>
  </si>
  <si>
    <t>Fluocompacta</t>
  </si>
  <si>
    <t>Sodium HP estándar</t>
  </si>
  <si>
    <t>Mercurio HP</t>
  </si>
  <si>
    <t>Aditivos metálicos</t>
  </si>
  <si>
    <t>Medida de Ahorro de Energía:
RETROFIT</t>
  </si>
  <si>
    <t>1/ Descripción del área</t>
  </si>
  <si>
    <t>Tipo de área</t>
  </si>
  <si>
    <t>de acuerdo a NOM-025-STPS-2008</t>
  </si>
  <si>
    <t>lux mínimo</t>
  </si>
  <si>
    <t>Medidas</t>
  </si>
  <si>
    <t>Largo</t>
  </si>
  <si>
    <t>Ancho</t>
  </si>
  <si>
    <t>2/ Descripción del sistema de iluminación existente</t>
  </si>
  <si>
    <t>Cantidad de lámparas por luminaria</t>
  </si>
  <si>
    <t>luminarias</t>
  </si>
  <si>
    <t>lámpara/luminaria</t>
  </si>
  <si>
    <t>Potencia de cada lámpara</t>
  </si>
  <si>
    <t>3/ Costo de energía</t>
  </si>
  <si>
    <t>Potencia total instalada</t>
  </si>
  <si>
    <t>Costo de energía eléctrica</t>
  </si>
  <si>
    <t>Precio medio del kWh eléctrico</t>
  </si>
  <si>
    <t>Consumo de electricidad</t>
  </si>
  <si>
    <t>Ahorro energético</t>
  </si>
  <si>
    <t>años</t>
  </si>
  <si>
    <t>Tiempo de retorno de inversión máximo deseable</t>
  </si>
  <si>
    <t>Inversión máxima permitida</t>
  </si>
  <si>
    <t>$</t>
  </si>
  <si>
    <t>Medida de Ahorro de Energía:
SUSTITUCIÓN LÁMPARA DE MERCURIO HP</t>
  </si>
  <si>
    <t>1/ Datos de referencia</t>
  </si>
  <si>
    <t>Instalación existente</t>
  </si>
  <si>
    <t>Lámparas compatibles sin cambiar balastro</t>
  </si>
  <si>
    <t>Kit de conversión</t>
  </si>
  <si>
    <t xml:space="preserve">Sodio HP </t>
  </si>
  <si>
    <t>Sodio HP</t>
  </si>
  <si>
    <t>Sodio HP larga duración</t>
  </si>
  <si>
    <t>Potencia de lámpara de sodio HP</t>
  </si>
  <si>
    <t>Precio</t>
  </si>
  <si>
    <t>Celda</t>
  </si>
  <si>
    <t>Precio seleccionado</t>
  </si>
  <si>
    <t>Potencia de lámpara de mercurio</t>
  </si>
  <si>
    <t>Potencia de lámpara de sodio HP larga duración</t>
  </si>
  <si>
    <t>Potencia de lámparas de aditivos metálicos</t>
  </si>
  <si>
    <t>Selección de lámparas para kit de conversión</t>
  </si>
  <si>
    <t>selección lámparas compatibles</t>
  </si>
  <si>
    <t>Vida útil seleccionada</t>
  </si>
  <si>
    <t>Precio del kit de conversión</t>
  </si>
  <si>
    <t>Potencia de las lámparas</t>
  </si>
  <si>
    <t>Unidad</t>
  </si>
  <si>
    <t>día/año</t>
  </si>
  <si>
    <t>Horarios de funcionamiento</t>
  </si>
  <si>
    <t>Costo promedio del kWh eléctrico</t>
  </si>
  <si>
    <t>Cifra indicativa</t>
  </si>
  <si>
    <t>Ahorro de energía eléctrica</t>
  </si>
  <si>
    <t>3/ Resultados</t>
  </si>
  <si>
    <t>2/ Costos de inversión</t>
  </si>
  <si>
    <t>Sustitución de todas las lámparas</t>
  </si>
  <si>
    <t>Precio del kit de conversión:</t>
  </si>
  <si>
    <t>Costo de mano de obra para instalación</t>
  </si>
  <si>
    <t>Inversión total</t>
  </si>
  <si>
    <t>Costo de remplazo de lámparas fundidas</t>
  </si>
  <si>
    <t>Costo anual total:</t>
  </si>
  <si>
    <t>Tiempo de retorno de inversión</t>
  </si>
  <si>
    <t>4/ Análisis de Medidas de Ahorro de energía</t>
  </si>
  <si>
    <t>Apagado de lámparas</t>
  </si>
  <si>
    <t>Detector de presencia</t>
  </si>
  <si>
    <t>Retrofit general</t>
  </si>
  <si>
    <t>Sustitución de lámparas de mercurio</t>
  </si>
  <si>
    <t>Comentarios</t>
  </si>
  <si>
    <t xml:space="preserve">Recordar que si selecciona más de 1 medida de ahorro de energía para una misma área, debe:
1/ Analizar la 1ra medida de ahorro de energía seleccionada, utilizando las características actuales del sistema de iluminación 
2/ Para el análisis de la 2a medida de ahorro de energía, debe ingresar en la herramienta de cálculo las características optimizadas del sistema de iluminación, es decir considerando los nuevos horarios de funcionamiento o la nueva potencia de la lámpara sustituida. </t>
  </si>
  <si>
    <t>Ahorros energéticos anuales</t>
  </si>
  <si>
    <t>TOTAL</t>
  </si>
  <si>
    <t>Ahorros económicos anuales</t>
  </si>
  <si>
    <t>Indicar los ahorros energéticos anuales, utilizando las herramientas de cálculo de las siguientes pestañas:</t>
  </si>
  <si>
    <t>Valor de referencia</t>
  </si>
  <si>
    <r>
      <t xml:space="preserve">Color techo 
</t>
    </r>
    <r>
      <rPr>
        <sz val="9"/>
        <color theme="1"/>
        <rFont val="Arial"/>
        <family val="2"/>
      </rPr>
      <t>(Claro, mediano, opaco)</t>
    </r>
  </si>
  <si>
    <t>La disposición de las luminarias provoca zonas de sombras sobre el plan de trabajo 
(SI/NO)</t>
  </si>
  <si>
    <r>
      <t xml:space="preserve">VII. Criterios de eficiencia energética </t>
    </r>
    <r>
      <rPr>
        <i/>
        <sz val="11"/>
        <color rgb="FF0070C0"/>
        <rFont val="Arial"/>
        <family val="2"/>
      </rPr>
      <t>(indique si ocurre alguna(s) de esta(s) situación(es) en las áreas)</t>
    </r>
  </si>
  <si>
    <r>
      <t xml:space="preserve">Tipo de edificio / ocupación: </t>
    </r>
    <r>
      <rPr>
        <i/>
        <sz val="11"/>
        <color rgb="FF0070C0"/>
        <rFont val="Arial"/>
        <family val="2"/>
      </rPr>
      <t xml:space="preserve"> (marcar con una cruz la o las opción(es) correcta(s))</t>
    </r>
  </si>
  <si>
    <r>
      <t>Si ha respondido "SI" a alguna de las siguientes preguntas:
- ¿Se queda prendida la luz en un local que recibe luz natural?
- ¿Se queda prendida la luz aunque el espacio no está ocupado?
- ¿Está iluminada toda el área mientras solamente se ocupa una parte?
- ¿Se mantienen iluminadas áreas que únicamente se ocupan algunas horas del día?
Use las herramientas de cálculo para calcular los ahorros energéticos, los ahorros económicos y los ahorros de CO</t>
    </r>
    <r>
      <rPr>
        <i/>
        <vertAlign val="subscript"/>
        <sz val="11"/>
        <color rgb="FF0070C0"/>
        <rFont val="Calibri"/>
        <family val="2"/>
        <scheme val="minor"/>
      </rPr>
      <t>2</t>
    </r>
  </si>
  <si>
    <t>Temporización prevista antes de apagarse</t>
  </si>
  <si>
    <t>minutos</t>
  </si>
  <si>
    <t>Seleccionar las medidas de ahorro de energía evaluadas (SI/NO)</t>
  </si>
  <si>
    <t>Ahorros energéticos anuales (kWh/año)</t>
  </si>
  <si>
    <t>(En caso de desconocer el valor, dividir el costo anual de la electricidad (suma del valor de los 12  últimos recibos de CFE) entre el consumo anual total en kWh (indicado en kWh mensuales en el recibo de CFE )</t>
  </si>
  <si>
    <t xml:space="preserve">Fuente: http://www.geimexico.org/factor.html  </t>
  </si>
  <si>
    <t>MXN $/kWh</t>
  </si>
  <si>
    <t>Vida útil de las lámparas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</si>
</sst>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0.0"/>
    <numFmt numFmtId="165" formatCode="_-&quot;$&quot;* #,##0_-;\-&quot;$&quot;* #,##0_-;_-&quot;$&quot;* &quot;-&quot;??_-;_-@_-"/>
    <numFmt numFmtId="166" formatCode="_-* #,##0_-;\-* #,##0_-;_-* &quot;-&quot;??_-;_-@_-"/>
  </numFmts>
  <fonts count="64"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b/>
      <sz val="12"/>
      <color theme="1"/>
      <name val="Calibri"/>
      <family val="2"/>
      <scheme val="minor"/>
    </font>
    <font>
      <sz val="12"/>
      <color theme="1"/>
      <name val="Calibri"/>
      <family val="2"/>
      <scheme val="minor"/>
    </font>
    <font>
      <sz val="11"/>
      <color rgb="FFFF0000"/>
      <name val="Calibri"/>
      <family val="2"/>
      <scheme val="minor"/>
    </font>
    <font>
      <b/>
      <sz val="14"/>
      <color theme="1"/>
      <name val="Arial"/>
      <family val="2"/>
    </font>
    <font>
      <b/>
      <sz val="12"/>
      <color theme="1"/>
      <name val="Arial"/>
      <family val="2"/>
    </font>
    <font>
      <sz val="11"/>
      <color theme="1"/>
      <name val="Arial"/>
      <family val="2"/>
    </font>
    <font>
      <b/>
      <u/>
      <sz val="12"/>
      <color theme="1"/>
      <name val="Arial"/>
      <family val="2"/>
    </font>
    <font>
      <b/>
      <u/>
      <sz val="11"/>
      <color theme="1"/>
      <name val="Arial"/>
      <family val="2"/>
    </font>
    <font>
      <i/>
      <sz val="11"/>
      <color rgb="FF0070C0"/>
      <name val="Arial"/>
      <family val="2"/>
    </font>
    <font>
      <sz val="10"/>
      <color theme="1"/>
      <name val="Calibri"/>
      <family val="2"/>
      <scheme val="minor"/>
    </font>
    <font>
      <sz val="10"/>
      <color theme="1"/>
      <name val="Arial"/>
      <family val="2"/>
    </font>
    <font>
      <b/>
      <u/>
      <sz val="10"/>
      <color theme="1"/>
      <name val="Arial"/>
      <family val="2"/>
    </font>
    <font>
      <b/>
      <sz val="10"/>
      <name val="Arial"/>
      <family val="2"/>
    </font>
    <font>
      <u/>
      <sz val="11"/>
      <color theme="1"/>
      <name val="Arial"/>
      <family val="2"/>
    </font>
    <font>
      <b/>
      <sz val="10"/>
      <color theme="1"/>
      <name val="Arial"/>
      <family val="2"/>
    </font>
    <font>
      <sz val="11"/>
      <color theme="1"/>
      <name val="Calibri"/>
      <family val="2"/>
      <scheme val="minor"/>
    </font>
    <font>
      <b/>
      <sz val="11"/>
      <color theme="1"/>
      <name val="Arial"/>
      <family val="2"/>
    </font>
    <font>
      <sz val="10"/>
      <color rgb="FF000000"/>
      <name val="Arial"/>
      <family val="2"/>
    </font>
    <font>
      <vertAlign val="superscript"/>
      <sz val="11"/>
      <color theme="1"/>
      <name val="Arial"/>
      <family val="2"/>
    </font>
    <font>
      <sz val="9"/>
      <color theme="1"/>
      <name val="Arial"/>
      <family val="2"/>
    </font>
    <font>
      <sz val="11"/>
      <color theme="1"/>
      <name val="Symbol"/>
      <family val="1"/>
      <charset val="2"/>
    </font>
    <font>
      <sz val="10"/>
      <name val="Arial"/>
      <family val="2"/>
    </font>
    <font>
      <sz val="10"/>
      <color indexed="9"/>
      <name val="Arial"/>
      <family val="2"/>
    </font>
    <font>
      <b/>
      <sz val="18"/>
      <name val="Arial"/>
      <family val="2"/>
    </font>
    <font>
      <b/>
      <i/>
      <sz val="10"/>
      <color indexed="12"/>
      <name val="Arial"/>
      <family val="2"/>
    </font>
    <font>
      <b/>
      <sz val="10"/>
      <color indexed="12"/>
      <name val="Arial"/>
      <family val="2"/>
    </font>
    <font>
      <i/>
      <sz val="9"/>
      <name val="Arial"/>
      <family val="2"/>
    </font>
    <font>
      <b/>
      <sz val="10"/>
      <color indexed="10"/>
      <name val="Arial"/>
      <family val="2"/>
    </font>
    <font>
      <b/>
      <sz val="10"/>
      <color indexed="8"/>
      <name val="Arial"/>
      <family val="2"/>
    </font>
    <font>
      <i/>
      <sz val="10"/>
      <name val="Arial"/>
      <family val="2"/>
    </font>
    <font>
      <i/>
      <sz val="8"/>
      <name val="Arial"/>
      <family val="2"/>
    </font>
    <font>
      <b/>
      <sz val="14"/>
      <name val="Arial"/>
      <family val="2"/>
    </font>
    <font>
      <b/>
      <vertAlign val="superscript"/>
      <sz val="11"/>
      <color theme="1"/>
      <name val="Arial"/>
      <family val="2"/>
    </font>
    <font>
      <b/>
      <vertAlign val="superscript"/>
      <sz val="10"/>
      <color theme="1"/>
      <name val="Arial"/>
      <family val="2"/>
    </font>
    <font>
      <i/>
      <sz val="11"/>
      <color rgb="FF0070C0"/>
      <name val="Calibri"/>
      <family val="2"/>
      <scheme val="minor"/>
    </font>
    <font>
      <b/>
      <u/>
      <sz val="10"/>
      <name val="Arial"/>
      <family val="2"/>
    </font>
    <font>
      <sz val="10"/>
      <color theme="0"/>
      <name val="Arial"/>
      <family val="2"/>
    </font>
    <font>
      <i/>
      <sz val="11"/>
      <color theme="1"/>
      <name val="Calibri"/>
      <family val="2"/>
      <scheme val="minor"/>
    </font>
    <font>
      <b/>
      <sz val="11"/>
      <name val="Arial"/>
      <family val="2"/>
    </font>
    <font>
      <sz val="11"/>
      <name val="Arial"/>
      <family val="2"/>
    </font>
    <font>
      <b/>
      <sz val="11"/>
      <color indexed="12"/>
      <name val="Arial"/>
      <family val="2"/>
    </font>
    <font>
      <b/>
      <u/>
      <sz val="11"/>
      <name val="Arial"/>
      <family val="2"/>
    </font>
    <font>
      <sz val="11"/>
      <color indexed="10"/>
      <name val="Arial"/>
      <family val="2"/>
    </font>
    <font>
      <i/>
      <sz val="11"/>
      <name val="Arial"/>
      <family val="2"/>
    </font>
    <font>
      <sz val="11"/>
      <color rgb="FFFF0000"/>
      <name val="Arial"/>
      <family val="2"/>
    </font>
    <font>
      <sz val="11"/>
      <color indexed="8"/>
      <name val="Arial"/>
      <family val="2"/>
    </font>
    <font>
      <sz val="11"/>
      <color theme="0"/>
      <name val="Arial"/>
      <family val="2"/>
    </font>
    <font>
      <b/>
      <sz val="11"/>
      <color rgb="FFFF0000"/>
      <name val="Arial"/>
      <family val="2"/>
    </font>
    <font>
      <b/>
      <sz val="11"/>
      <color indexed="10"/>
      <name val="Arial"/>
      <family val="2"/>
    </font>
    <font>
      <b/>
      <i/>
      <sz val="11"/>
      <color rgb="FFFF0000"/>
      <name val="Arial"/>
      <family val="2"/>
    </font>
    <font>
      <i/>
      <vertAlign val="subscript"/>
      <sz val="10"/>
      <name val="Arial"/>
      <family val="2"/>
    </font>
    <font>
      <b/>
      <vertAlign val="subscript"/>
      <sz val="11"/>
      <color rgb="FFFF0000"/>
      <name val="Arial"/>
      <family val="2"/>
    </font>
    <font>
      <i/>
      <sz val="10"/>
      <color rgb="FF0070C0"/>
      <name val="Arial"/>
      <family val="2"/>
    </font>
    <font>
      <i/>
      <sz val="11"/>
      <color theme="1"/>
      <name val="Arial"/>
      <family val="2"/>
    </font>
    <font>
      <i/>
      <sz val="11"/>
      <color rgb="FFFF0000"/>
      <name val="Arial"/>
      <family val="2"/>
    </font>
    <font>
      <b/>
      <i/>
      <sz val="10"/>
      <name val="Arial"/>
      <family val="2"/>
    </font>
    <font>
      <i/>
      <sz val="11"/>
      <color theme="0"/>
      <name val="Arial"/>
      <family val="2"/>
    </font>
    <font>
      <i/>
      <vertAlign val="subscript"/>
      <sz val="11"/>
      <color rgb="FF0070C0"/>
      <name val="Calibri"/>
      <family val="2"/>
      <scheme val="minor"/>
    </font>
    <font>
      <b/>
      <i/>
      <sz val="9"/>
      <color rgb="FF0070C0"/>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rgb="FFFFFF00"/>
        <bgColor indexed="64"/>
      </patternFill>
    </fill>
  </fills>
  <borders count="1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ck">
        <color rgb="FFECECE8"/>
      </left>
      <right style="thick">
        <color rgb="FFECECE8"/>
      </right>
      <top style="thick">
        <color rgb="FFECECE8"/>
      </top>
      <bottom style="thick">
        <color rgb="FFECECE8"/>
      </bottom>
      <diagonal/>
    </border>
    <border>
      <left style="thick">
        <color rgb="FFECECE8"/>
      </left>
      <right style="thick">
        <color rgb="FFECECE8"/>
      </right>
      <top/>
      <bottom style="thick">
        <color rgb="FFECECE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xf numFmtId="43" fontId="20" fillId="0" borderId="0" applyFont="0" applyFill="0" applyBorder="0" applyAlignment="0" applyProtection="0"/>
    <xf numFmtId="0" fontId="26" fillId="0" borderId="0"/>
    <xf numFmtId="0" fontId="26" fillId="0" borderId="0" applyFont="0" applyFill="0" applyBorder="0" applyAlignment="0" applyProtection="0"/>
    <xf numFmtId="44" fontId="20" fillId="0" borderId="0" applyFont="0" applyFill="0" applyBorder="0" applyAlignment="0" applyProtection="0"/>
    <xf numFmtId="9" fontId="20" fillId="0" borderId="0" applyFont="0" applyFill="0" applyBorder="0" applyAlignment="0" applyProtection="0"/>
  </cellStyleXfs>
  <cellXfs count="392">
    <xf numFmtId="0" fontId="0" fillId="0" borderId="0" xfId="0"/>
    <xf numFmtId="0" fontId="0" fillId="2" borderId="0" xfId="0" applyFill="1"/>
    <xf numFmtId="0" fontId="5" fillId="2" borderId="0" xfId="0" applyFont="1" applyFill="1"/>
    <xf numFmtId="0" fontId="0" fillId="0" borderId="0" xfId="0"/>
    <xf numFmtId="0" fontId="6" fillId="2" borderId="0" xfId="0" applyFont="1" applyFill="1"/>
    <xf numFmtId="0" fontId="6" fillId="0" borderId="0" xfId="0" applyFont="1"/>
    <xf numFmtId="0" fontId="6" fillId="2" borderId="0" xfId="0" applyFont="1" applyFill="1" applyBorder="1" applyAlignment="1">
      <alignment horizontal="center"/>
    </xf>
    <xf numFmtId="0" fontId="0" fillId="0" borderId="0" xfId="0" applyFill="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4" fillId="2" borderId="0" xfId="0" applyFont="1" applyFill="1"/>
    <xf numFmtId="0" fontId="4" fillId="2" borderId="3" xfId="0" applyFont="1" applyFill="1" applyBorder="1"/>
    <xf numFmtId="0" fontId="12" fillId="2" borderId="3" xfId="0" applyFont="1" applyFill="1" applyBorder="1"/>
    <xf numFmtId="0" fontId="12" fillId="2" borderId="0" xfId="0" applyFont="1" applyFill="1" applyBorder="1"/>
    <xf numFmtId="0" fontId="3" fillId="2" borderId="0" xfId="0" applyFont="1" applyFill="1"/>
    <xf numFmtId="0" fontId="10" fillId="2" borderId="0" xfId="0" applyFont="1" applyFill="1" applyBorder="1"/>
    <xf numFmtId="0" fontId="10" fillId="2" borderId="3" xfId="0" applyFont="1" applyFill="1" applyBorder="1"/>
    <xf numFmtId="0" fontId="3" fillId="2" borderId="0" xfId="0" applyFont="1" applyFill="1" applyBorder="1"/>
    <xf numFmtId="0" fontId="0" fillId="2" borderId="0" xfId="0" applyFill="1" applyBorder="1"/>
    <xf numFmtId="0" fontId="10" fillId="2" borderId="0" xfId="0" applyFont="1" applyFill="1" applyBorder="1" applyAlignment="1">
      <alignment horizontal="center"/>
    </xf>
    <xf numFmtId="0" fontId="4" fillId="2" borderId="0" xfId="0" applyFont="1" applyFill="1" applyBorder="1"/>
    <xf numFmtId="0" fontId="15" fillId="2" borderId="3" xfId="0" applyFont="1" applyFill="1" applyBorder="1"/>
    <xf numFmtId="0" fontId="18" fillId="2" borderId="0" xfId="0" applyFont="1" applyFill="1"/>
    <xf numFmtId="0" fontId="19" fillId="2" borderId="3" xfId="0" applyFont="1" applyFill="1" applyBorder="1" applyAlignment="1">
      <alignment horizontal="center" vertical="center"/>
    </xf>
    <xf numFmtId="0" fontId="15" fillId="2" borderId="3" xfId="0" applyFont="1" applyFill="1" applyBorder="1" applyAlignment="1">
      <alignment vertical="center"/>
    </xf>
    <xf numFmtId="0" fontId="3" fillId="2" borderId="3" xfId="0" applyFont="1" applyFill="1" applyBorder="1"/>
    <xf numFmtId="0" fontId="10" fillId="2" borderId="0" xfId="0" applyFont="1" applyFill="1" applyBorder="1" applyAlignment="1"/>
    <xf numFmtId="0" fontId="10" fillId="2" borderId="6" xfId="0" applyFont="1" applyFill="1" applyBorder="1"/>
    <xf numFmtId="0" fontId="10" fillId="2" borderId="3" xfId="0" applyFont="1" applyFill="1" applyBorder="1" applyAlignment="1"/>
    <xf numFmtId="0" fontId="10" fillId="2" borderId="0" xfId="0" applyFont="1" applyFill="1" applyAlignment="1">
      <alignment horizontal="center" wrapText="1"/>
    </xf>
    <xf numFmtId="0" fontId="3" fillId="2" borderId="0" xfId="0" applyFont="1" applyFill="1" applyAlignment="1">
      <alignment horizontal="center" wrapText="1"/>
    </xf>
    <xf numFmtId="0" fontId="17" fillId="3" borderId="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3" fillId="2" borderId="0" xfId="0" applyFont="1" applyFill="1" applyAlignment="1">
      <alignment horizontal="center" wrapText="1"/>
    </xf>
    <xf numFmtId="0" fontId="22" fillId="4" borderId="7" xfId="0" applyFont="1" applyFill="1" applyBorder="1" applyAlignment="1">
      <alignment horizontal="left" vertical="center" wrapText="1" indent="1"/>
    </xf>
    <xf numFmtId="0" fontId="22" fillId="4" borderId="8" xfId="0" applyFont="1" applyFill="1" applyBorder="1" applyAlignment="1">
      <alignment horizontal="left" vertical="center" wrapText="1" indent="1"/>
    </xf>
    <xf numFmtId="0" fontId="0" fillId="2" borderId="3" xfId="0" applyFill="1" applyBorder="1"/>
    <xf numFmtId="0" fontId="2" fillId="2" borderId="0" xfId="0" applyFont="1" applyFill="1"/>
    <xf numFmtId="0" fontId="21" fillId="2" borderId="0" xfId="0" applyFont="1" applyFill="1" applyAlignment="1">
      <alignment horizontal="justify" vertical="center"/>
    </xf>
    <xf numFmtId="0" fontId="10" fillId="2" borderId="3" xfId="0" applyFont="1" applyFill="1" applyBorder="1" applyAlignment="1">
      <alignment horizontal="center"/>
    </xf>
    <xf numFmtId="0" fontId="2" fillId="2" borderId="0" xfId="0" applyFont="1" applyFill="1" applyAlignment="1">
      <alignment horizontal="center"/>
    </xf>
    <xf numFmtId="0" fontId="2" fillId="2" borderId="3" xfId="0" applyFont="1" applyFill="1" applyBorder="1" applyAlignment="1">
      <alignment horizontal="center" vertical="center"/>
    </xf>
    <xf numFmtId="0" fontId="2" fillId="3" borderId="3" xfId="0" applyFont="1" applyFill="1" applyBorder="1" applyAlignment="1">
      <alignment horizontal="center" vertical="center"/>
    </xf>
    <xf numFmtId="0" fontId="2" fillId="2" borderId="0" xfId="0" applyFont="1" applyFill="1" applyBorder="1" applyAlignment="1">
      <alignment horizontal="center" vertical="center"/>
    </xf>
    <xf numFmtId="0" fontId="0" fillId="2" borderId="0" xfId="0" applyFill="1" applyBorder="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vertical="center"/>
    </xf>
    <xf numFmtId="0" fontId="10" fillId="2" borderId="0" xfId="0" applyFont="1" applyFill="1" applyBorder="1" applyAlignment="1">
      <alignment vertical="center"/>
    </xf>
    <xf numFmtId="0" fontId="2" fillId="3" borderId="3" xfId="0" applyFont="1" applyFill="1" applyBorder="1" applyAlignment="1">
      <alignment vertical="center"/>
    </xf>
    <xf numFmtId="0" fontId="10" fillId="2" borderId="0" xfId="0" applyFont="1" applyFill="1" applyBorder="1" applyAlignment="1">
      <alignment horizontal="center"/>
    </xf>
    <xf numFmtId="0" fontId="2" fillId="3" borderId="3" xfId="0" applyFont="1" applyFill="1" applyBorder="1" applyAlignment="1">
      <alignment horizontal="center" vertical="center" wrapText="1"/>
    </xf>
    <xf numFmtId="0" fontId="10" fillId="2" borderId="0" xfId="0" applyFont="1" applyFill="1" applyBorder="1" applyAlignment="1">
      <alignment horizontal="center" wrapText="1"/>
    </xf>
    <xf numFmtId="43" fontId="15" fillId="2" borderId="3" xfId="0" applyNumberFormat="1" applyFont="1" applyFill="1" applyBorder="1" applyAlignment="1">
      <alignment horizontal="left" vertical="center"/>
    </xf>
    <xf numFmtId="0" fontId="3" fillId="2" borderId="0" xfId="0" applyFont="1" applyFill="1" applyBorder="1" applyAlignment="1">
      <alignment horizontal="center" wrapText="1"/>
    </xf>
    <xf numFmtId="0" fontId="3" fillId="2" borderId="3" xfId="0" applyFont="1" applyFill="1" applyBorder="1" applyAlignment="1">
      <alignment horizontal="center" wrapText="1"/>
    </xf>
    <xf numFmtId="0" fontId="3" fillId="2" borderId="3" xfId="0" applyFont="1" applyFill="1" applyBorder="1" applyAlignment="1">
      <alignment wrapText="1"/>
    </xf>
    <xf numFmtId="0" fontId="4" fillId="2" borderId="9" xfId="0" applyFont="1" applyFill="1" applyBorder="1"/>
    <xf numFmtId="0" fontId="10" fillId="2" borderId="9" xfId="0" applyFont="1" applyFill="1" applyBorder="1"/>
    <xf numFmtId="0" fontId="3" fillId="2" borderId="6" xfId="0" applyFont="1" applyFill="1" applyBorder="1"/>
    <xf numFmtId="0" fontId="4" fillId="2" borderId="3" xfId="0" applyFont="1" applyFill="1" applyBorder="1" applyAlignment="1"/>
    <xf numFmtId="0" fontId="25" fillId="0" borderId="0" xfId="0" applyFont="1" applyAlignment="1">
      <alignment horizontal="justify" vertical="center"/>
    </xf>
    <xf numFmtId="0" fontId="25" fillId="2" borderId="0" xfId="0" applyFont="1" applyFill="1" applyAlignment="1">
      <alignment horizontal="justify" vertical="center"/>
    </xf>
    <xf numFmtId="0" fontId="10" fillId="2" borderId="10" xfId="0" applyFont="1" applyFill="1" applyBorder="1"/>
    <xf numFmtId="0" fontId="26" fillId="0" borderId="0" xfId="2"/>
    <xf numFmtId="0" fontId="26" fillId="0" borderId="0" xfId="2" applyFill="1" applyBorder="1" applyAlignment="1">
      <alignment horizontal="center"/>
    </xf>
    <xf numFmtId="0" fontId="26" fillId="0" borderId="0" xfId="2" applyFill="1" applyBorder="1"/>
    <xf numFmtId="0" fontId="17" fillId="0" borderId="0" xfId="2" applyFont="1"/>
    <xf numFmtId="0" fontId="26" fillId="0" borderId="0" xfId="2" applyFont="1"/>
    <xf numFmtId="0" fontId="26" fillId="0" borderId="0" xfId="2" applyAlignment="1">
      <alignment horizontal="center"/>
    </xf>
    <xf numFmtId="0" fontId="30" fillId="0" borderId="0" xfId="2" applyFont="1" applyFill="1" applyBorder="1" applyAlignment="1" applyProtection="1">
      <alignment horizontal="center"/>
      <protection locked="0"/>
    </xf>
    <xf numFmtId="0" fontId="34" fillId="0" borderId="0" xfId="2" applyFont="1" applyBorder="1" applyAlignment="1">
      <alignment horizontal="left"/>
    </xf>
    <xf numFmtId="0" fontId="34" fillId="0" borderId="0" xfId="2" applyFont="1" applyBorder="1" applyAlignment="1">
      <alignment horizontal="center"/>
    </xf>
    <xf numFmtId="0" fontId="34" fillId="0" borderId="0" xfId="2" applyFont="1"/>
    <xf numFmtId="0" fontId="21" fillId="5" borderId="3" xfId="0"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0" fontId="1" fillId="2" borderId="0" xfId="0" applyFont="1" applyFill="1"/>
    <xf numFmtId="0" fontId="1" fillId="2" borderId="3" xfId="0" applyFont="1" applyFill="1" applyBorder="1" applyAlignment="1">
      <alignment horizontal="center" vertical="center"/>
    </xf>
    <xf numFmtId="0" fontId="1" fillId="2" borderId="3" xfId="0" applyFont="1" applyFill="1" applyBorder="1"/>
    <xf numFmtId="43" fontId="0" fillId="2" borderId="5" xfId="1" applyFont="1" applyFill="1" applyBorder="1" applyAlignment="1">
      <alignment vertical="center"/>
    </xf>
    <xf numFmtId="43" fontId="0" fillId="2" borderId="3" xfId="1" applyFont="1" applyFill="1" applyBorder="1" applyAlignment="1">
      <alignment vertical="center"/>
    </xf>
    <xf numFmtId="0" fontId="21" fillId="3" borderId="3" xfId="0" applyFont="1" applyFill="1" applyBorder="1" applyAlignment="1">
      <alignment horizontal="center" vertical="center"/>
    </xf>
    <xf numFmtId="0" fontId="21" fillId="3" borderId="5"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3" fillId="2" borderId="0" xfId="0" applyFont="1" applyFill="1"/>
    <xf numFmtId="0" fontId="1" fillId="2" borderId="3" xfId="0" applyFont="1" applyFill="1" applyBorder="1" applyAlignment="1">
      <alignment horizontal="left" vertical="center" wrapText="1"/>
    </xf>
    <xf numFmtId="0" fontId="2" fillId="2" borderId="0" xfId="0" applyFont="1" applyFill="1" applyBorder="1" applyAlignment="1">
      <alignment vertical="center" wrapText="1"/>
    </xf>
    <xf numFmtId="0" fontId="21" fillId="3" borderId="4"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6" fillId="2" borderId="3" xfId="0" applyFont="1" applyFill="1" applyBorder="1" applyAlignment="1">
      <alignment horizontal="left" vertical="center"/>
    </xf>
    <xf numFmtId="0" fontId="0" fillId="2" borderId="3" xfId="0" applyFill="1" applyBorder="1" applyAlignment="1">
      <alignment horizontal="center" vertical="center"/>
    </xf>
    <xf numFmtId="0" fontId="0" fillId="2" borderId="0" xfId="0" applyFill="1" applyAlignment="1">
      <alignment vertical="center"/>
    </xf>
    <xf numFmtId="0" fontId="21" fillId="3" borderId="3"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39" fillId="2" borderId="0" xfId="0" applyFont="1" applyFill="1" applyAlignment="1">
      <alignment horizontal="left" vertical="center" wrapText="1"/>
    </xf>
    <xf numFmtId="0" fontId="39" fillId="2" borderId="0" xfId="0" applyFont="1" applyFill="1" applyAlignment="1">
      <alignment horizontal="left" vertical="center"/>
    </xf>
    <xf numFmtId="0" fontId="26" fillId="0" borderId="0" xfId="2" applyFont="1" applyAlignment="1">
      <alignment horizontal="center"/>
    </xf>
    <xf numFmtId="164" fontId="26" fillId="0" borderId="0" xfId="2" applyNumberFormat="1"/>
    <xf numFmtId="2" fontId="26" fillId="0" borderId="0" xfId="2" applyNumberFormat="1" applyAlignment="1">
      <alignment horizontal="center"/>
    </xf>
    <xf numFmtId="1" fontId="26" fillId="0" borderId="0" xfId="2" applyNumberFormat="1" applyAlignment="1">
      <alignment horizontal="center"/>
    </xf>
    <xf numFmtId="1" fontId="26" fillId="0" borderId="0" xfId="2" applyNumberFormat="1"/>
    <xf numFmtId="0" fontId="26" fillId="0" borderId="0" xfId="2" applyFont="1" applyFill="1"/>
    <xf numFmtId="0" fontId="26" fillId="2" borderId="0" xfId="2" applyFill="1"/>
    <xf numFmtId="0" fontId="26" fillId="2" borderId="0" xfId="2" applyFill="1" applyBorder="1"/>
    <xf numFmtId="0" fontId="29" fillId="2" borderId="0" xfId="2" applyFont="1" applyFill="1" applyBorder="1" applyAlignment="1">
      <alignment horizontal="center"/>
    </xf>
    <xf numFmtId="0" fontId="30" fillId="2" borderId="0" xfId="2" applyFont="1" applyFill="1" applyBorder="1" applyAlignment="1" applyProtection="1">
      <alignment horizontal="center"/>
      <protection locked="0"/>
    </xf>
    <xf numFmtId="0" fontId="40" fillId="2" borderId="0" xfId="2" applyFont="1" applyFill="1"/>
    <xf numFmtId="0" fontId="34" fillId="2" borderId="0" xfId="2" applyFont="1" applyFill="1"/>
    <xf numFmtId="0" fontId="26" fillId="2" borderId="0" xfId="2" applyFill="1" applyProtection="1">
      <protection locked="0"/>
    </xf>
    <xf numFmtId="0" fontId="26" fillId="2" borderId="0" xfId="2" applyFill="1" applyAlignment="1" applyProtection="1">
      <alignment horizontal="center"/>
      <protection locked="0"/>
    </xf>
    <xf numFmtId="0" fontId="17" fillId="2" borderId="0" xfId="2" applyFont="1" applyFill="1" applyBorder="1"/>
    <xf numFmtId="0" fontId="41" fillId="0" borderId="0" xfId="2" applyFont="1"/>
    <xf numFmtId="0" fontId="41" fillId="2" borderId="0" xfId="2" applyFont="1" applyFill="1"/>
    <xf numFmtId="0" fontId="26" fillId="2" borderId="0" xfId="2" applyFont="1" applyFill="1"/>
    <xf numFmtId="0" fontId="17" fillId="0" borderId="0" xfId="2" applyFont="1" applyAlignment="1">
      <alignment horizontal="center"/>
    </xf>
    <xf numFmtId="0" fontId="26" fillId="0" borderId="0" xfId="2" applyFill="1" applyAlignment="1">
      <alignment horizontal="center"/>
    </xf>
    <xf numFmtId="0" fontId="17" fillId="0" borderId="0" xfId="2" applyFont="1" applyFill="1" applyAlignment="1">
      <alignment horizontal="center"/>
    </xf>
    <xf numFmtId="0" fontId="26" fillId="0" borderId="0" xfId="2" applyAlignment="1">
      <alignment horizontal="left"/>
    </xf>
    <xf numFmtId="0" fontId="42" fillId="2" borderId="0" xfId="2" applyFont="1" applyFill="1"/>
    <xf numFmtId="0" fontId="30" fillId="0" borderId="0" xfId="2" applyFont="1" applyFill="1" applyAlignment="1" applyProtection="1">
      <alignment horizontal="center"/>
      <protection locked="0"/>
    </xf>
    <xf numFmtId="0" fontId="26" fillId="0" borderId="0" xfId="2" applyFill="1" applyAlignment="1" applyProtection="1">
      <alignment horizontal="center"/>
      <protection locked="0"/>
    </xf>
    <xf numFmtId="0" fontId="17" fillId="0" borderId="0" xfId="2" applyFont="1" applyFill="1" applyBorder="1" applyAlignment="1" applyProtection="1">
      <alignment horizontal="center"/>
      <protection locked="0"/>
    </xf>
    <xf numFmtId="0" fontId="17" fillId="0" borderId="0" xfId="2" applyFont="1" applyFill="1" applyAlignment="1" applyProtection="1">
      <alignment horizontal="center"/>
      <protection locked="0"/>
    </xf>
    <xf numFmtId="1" fontId="17" fillId="0" borderId="0" xfId="2" applyNumberFormat="1" applyFont="1" applyFill="1" applyBorder="1" applyAlignment="1">
      <alignment horizontal="center"/>
    </xf>
    <xf numFmtId="1" fontId="17" fillId="0" borderId="0" xfId="2" applyNumberFormat="1" applyFont="1" applyFill="1" applyAlignment="1">
      <alignment horizontal="center"/>
    </xf>
    <xf numFmtId="1" fontId="32" fillId="0" borderId="0" xfId="2" applyNumberFormat="1" applyFont="1" applyFill="1" applyBorder="1" applyAlignment="1">
      <alignment horizontal="center"/>
    </xf>
    <xf numFmtId="1" fontId="32" fillId="0" borderId="0" xfId="2" applyNumberFormat="1" applyFont="1" applyFill="1" applyAlignment="1">
      <alignment horizontal="center"/>
    </xf>
    <xf numFmtId="1" fontId="30" fillId="0" borderId="0" xfId="2" applyNumberFormat="1" applyFont="1" applyFill="1" applyAlignment="1" applyProtection="1">
      <alignment horizontal="center"/>
      <protection locked="0"/>
    </xf>
    <xf numFmtId="1" fontId="33" fillId="0" borderId="0" xfId="2" applyNumberFormat="1" applyFont="1" applyFill="1" applyAlignment="1">
      <alignment horizontal="center"/>
    </xf>
    <xf numFmtId="164" fontId="32" fillId="0" borderId="0" xfId="2" applyNumberFormat="1" applyFont="1" applyFill="1" applyAlignment="1">
      <alignment horizontal="center"/>
    </xf>
    <xf numFmtId="0" fontId="44" fillId="2" borderId="0" xfId="2" applyFont="1" applyFill="1"/>
    <xf numFmtId="0" fontId="43" fillId="6" borderId="1" xfId="2" applyFont="1" applyFill="1" applyBorder="1" applyAlignment="1" applyProtection="1">
      <alignment horizontal="center"/>
      <protection locked="0"/>
    </xf>
    <xf numFmtId="0" fontId="45" fillId="2" borderId="0" xfId="2" applyFont="1" applyFill="1" applyBorder="1" applyAlignment="1" applyProtection="1">
      <alignment horizontal="center"/>
      <protection locked="0"/>
    </xf>
    <xf numFmtId="0" fontId="46" fillId="2" borderId="0" xfId="2" applyFont="1" applyFill="1"/>
    <xf numFmtId="0" fontId="43" fillId="2" borderId="0" xfId="2" applyFont="1" applyFill="1"/>
    <xf numFmtId="0" fontId="44" fillId="2" borderId="0" xfId="2" applyFont="1" applyFill="1" applyBorder="1"/>
    <xf numFmtId="0" fontId="46" fillId="2" borderId="0" xfId="2" applyFont="1" applyFill="1" applyBorder="1"/>
    <xf numFmtId="0" fontId="43" fillId="2" borderId="0" xfId="2" applyFont="1" applyFill="1" applyBorder="1"/>
    <xf numFmtId="0" fontId="43" fillId="2" borderId="0" xfId="2" applyFont="1" applyFill="1" applyBorder="1" applyAlignment="1" applyProtection="1">
      <alignment horizontal="center"/>
      <protection locked="0"/>
    </xf>
    <xf numFmtId="0" fontId="44" fillId="0" borderId="0" xfId="2" applyFont="1" applyProtection="1">
      <protection locked="0"/>
    </xf>
    <xf numFmtId="0" fontId="44" fillId="0" borderId="0" xfId="2" applyFont="1"/>
    <xf numFmtId="0" fontId="47" fillId="2" borderId="0" xfId="2" applyFont="1" applyFill="1" applyAlignment="1">
      <alignment horizontal="right"/>
    </xf>
    <xf numFmtId="0" fontId="47" fillId="2" borderId="0" xfId="2" applyFont="1" applyFill="1" applyAlignment="1">
      <alignment horizontal="center"/>
    </xf>
    <xf numFmtId="0" fontId="47" fillId="0" borderId="0" xfId="2" applyFont="1" applyAlignment="1">
      <alignment horizontal="center"/>
    </xf>
    <xf numFmtId="0" fontId="48" fillId="2" borderId="0" xfId="2" applyFont="1" applyFill="1"/>
    <xf numFmtId="0" fontId="50" fillId="2" borderId="0" xfId="2" applyFont="1" applyFill="1" applyAlignment="1" applyProtection="1">
      <alignment horizontal="center"/>
      <protection locked="0"/>
    </xf>
    <xf numFmtId="0" fontId="44" fillId="2" borderId="0" xfId="2" applyFont="1" applyFill="1" applyAlignment="1" applyProtection="1">
      <alignment horizontal="center"/>
      <protection locked="0"/>
    </xf>
    <xf numFmtId="2" fontId="51" fillId="2" borderId="0" xfId="2" applyNumberFormat="1" applyFont="1" applyFill="1" applyBorder="1" applyAlignment="1" applyProtection="1">
      <alignment horizontal="center"/>
      <protection locked="0"/>
    </xf>
    <xf numFmtId="0" fontId="51" fillId="2" borderId="0" xfId="2" applyFont="1" applyFill="1"/>
    <xf numFmtId="0" fontId="44" fillId="2" borderId="0" xfId="2" applyFont="1" applyFill="1" applyProtection="1">
      <protection locked="0"/>
    </xf>
    <xf numFmtId="0" fontId="49" fillId="2" borderId="0" xfId="2" applyFont="1" applyFill="1"/>
    <xf numFmtId="0" fontId="43" fillId="2" borderId="1" xfId="2" applyFont="1" applyFill="1" applyBorder="1" applyAlignment="1" applyProtection="1">
      <alignment horizontal="center"/>
      <protection locked="0"/>
    </xf>
    <xf numFmtId="0" fontId="45" fillId="2" borderId="0" xfId="2" applyFont="1" applyFill="1" applyBorder="1" applyAlignment="1" applyProtection="1">
      <alignment horizontal="center"/>
    </xf>
    <xf numFmtId="0" fontId="31" fillId="2" borderId="0" xfId="2" applyFont="1" applyFill="1" applyAlignment="1">
      <alignment horizontal="center"/>
    </xf>
    <xf numFmtId="0" fontId="52" fillId="2" borderId="0" xfId="2" applyFont="1" applyFill="1"/>
    <xf numFmtId="0" fontId="26" fillId="2" borderId="0" xfId="2" applyFill="1" applyAlignment="1">
      <alignment horizontal="center"/>
    </xf>
    <xf numFmtId="0" fontId="26" fillId="0" borderId="0" xfId="2" applyFont="1" applyProtection="1">
      <protection locked="0"/>
    </xf>
    <xf numFmtId="0" fontId="26" fillId="2" borderId="0" xfId="2" applyFont="1" applyFill="1" applyProtection="1">
      <protection locked="0"/>
    </xf>
    <xf numFmtId="0" fontId="44" fillId="2" borderId="0" xfId="2" applyFont="1" applyFill="1" applyAlignment="1">
      <alignment horizontal="right"/>
    </xf>
    <xf numFmtId="0" fontId="44" fillId="2" borderId="0" xfId="2" applyFont="1" applyFill="1" applyAlignment="1">
      <alignment horizontal="center"/>
    </xf>
    <xf numFmtId="0" fontId="43" fillId="2" borderId="0" xfId="2" applyFont="1" applyFill="1" applyBorder="1" applyAlignment="1">
      <alignment horizontal="center"/>
    </xf>
    <xf numFmtId="0" fontId="44" fillId="2" borderId="0" xfId="2" applyFont="1" applyFill="1" applyBorder="1" applyAlignment="1">
      <alignment horizontal="center"/>
    </xf>
    <xf numFmtId="1" fontId="44" fillId="2" borderId="0" xfId="2" applyNumberFormat="1" applyFont="1" applyFill="1" applyBorder="1" applyAlignment="1">
      <alignment horizontal="center"/>
    </xf>
    <xf numFmtId="0" fontId="51" fillId="2" borderId="0" xfId="2" applyFont="1" applyFill="1" applyAlignment="1" applyProtection="1">
      <alignment horizontal="center"/>
      <protection locked="0"/>
    </xf>
    <xf numFmtId="1" fontId="52" fillId="2" borderId="0" xfId="2" applyNumberFormat="1" applyFont="1" applyFill="1" applyBorder="1" applyAlignment="1">
      <alignment horizontal="center"/>
    </xf>
    <xf numFmtId="0" fontId="52" fillId="2" borderId="0" xfId="2" applyFont="1" applyFill="1" applyBorder="1" applyAlignment="1">
      <alignment horizontal="center"/>
    </xf>
    <xf numFmtId="9" fontId="54" fillId="2" borderId="0" xfId="5" applyFont="1" applyFill="1" applyBorder="1" applyAlignment="1">
      <alignment horizontal="right"/>
    </xf>
    <xf numFmtId="165" fontId="44" fillId="2" borderId="0" xfId="4" applyNumberFormat="1" applyFont="1" applyFill="1" applyBorder="1" applyAlignment="1">
      <alignment horizontal="center"/>
    </xf>
    <xf numFmtId="165" fontId="53" fillId="2" borderId="0" xfId="4" applyNumberFormat="1" applyFont="1" applyFill="1" applyBorder="1" applyAlignment="1">
      <alignment horizontal="center"/>
    </xf>
    <xf numFmtId="0" fontId="34" fillId="2" borderId="0" xfId="2" applyFont="1" applyFill="1" applyBorder="1" applyAlignment="1">
      <alignment horizontal="left"/>
    </xf>
    <xf numFmtId="0" fontId="34" fillId="2" borderId="0" xfId="2" applyFont="1" applyFill="1" applyBorder="1" applyAlignment="1">
      <alignment horizontal="center"/>
    </xf>
    <xf numFmtId="0" fontId="34" fillId="2" borderId="0" xfId="2" applyFont="1" applyFill="1" applyBorder="1" applyAlignment="1">
      <alignment horizontal="center" wrapText="1"/>
    </xf>
    <xf numFmtId="2" fontId="43" fillId="2" borderId="0" xfId="2" applyNumberFormat="1" applyFont="1" applyFill="1" applyBorder="1" applyAlignment="1">
      <alignment horizontal="center"/>
    </xf>
    <xf numFmtId="1" fontId="57" fillId="2" borderId="0" xfId="2" applyNumberFormat="1" applyFont="1" applyFill="1" applyBorder="1" applyAlignment="1">
      <alignment horizontal="right"/>
    </xf>
    <xf numFmtId="166" fontId="44" fillId="2" borderId="0" xfId="1" applyNumberFormat="1" applyFont="1" applyFill="1" applyBorder="1" applyAlignment="1">
      <alignment horizontal="center"/>
    </xf>
    <xf numFmtId="0" fontId="49" fillId="2" borderId="0" xfId="2" applyFont="1" applyFill="1" applyAlignment="1">
      <alignment horizontal="right"/>
    </xf>
    <xf numFmtId="0" fontId="27" fillId="2" borderId="0" xfId="2" applyFont="1" applyFill="1"/>
    <xf numFmtId="0" fontId="34" fillId="2" borderId="0" xfId="2" applyFont="1" applyFill="1" applyBorder="1"/>
    <xf numFmtId="0" fontId="35" fillId="2" borderId="0" xfId="2" applyFont="1" applyFill="1"/>
    <xf numFmtId="0" fontId="36" fillId="2" borderId="0" xfId="2" applyFont="1" applyFill="1" applyAlignment="1"/>
    <xf numFmtId="0" fontId="1" fillId="0" borderId="0" xfId="0" applyFont="1"/>
    <xf numFmtId="0" fontId="44" fillId="2" borderId="0" xfId="2" applyFont="1" applyFill="1" applyAlignment="1">
      <alignment horizontal="center" vertical="top"/>
    </xf>
    <xf numFmtId="0" fontId="48" fillId="2" borderId="0" xfId="2" applyFont="1" applyFill="1" applyAlignment="1">
      <alignment horizontal="center"/>
    </xf>
    <xf numFmtId="0" fontId="52" fillId="2" borderId="0" xfId="2" applyFont="1" applyFill="1" applyBorder="1"/>
    <xf numFmtId="1" fontId="43" fillId="2" borderId="0" xfId="2" applyNumberFormat="1" applyFont="1" applyFill="1" applyBorder="1" applyAlignment="1">
      <alignment horizontal="center"/>
    </xf>
    <xf numFmtId="0" fontId="58" fillId="2" borderId="0" xfId="0" applyFont="1" applyFill="1"/>
    <xf numFmtId="0" fontId="48" fillId="2" borderId="0" xfId="2" applyFont="1" applyFill="1" applyAlignment="1">
      <alignment horizontal="center" vertical="top"/>
    </xf>
    <xf numFmtId="0" fontId="44" fillId="2" borderId="0" xfId="2" applyFont="1" applyFill="1" applyBorder="1" applyAlignment="1" applyProtection="1">
      <alignment horizontal="center"/>
      <protection locked="0"/>
    </xf>
    <xf numFmtId="0" fontId="44" fillId="6" borderId="1" xfId="2" applyFont="1" applyFill="1" applyBorder="1" applyAlignment="1" applyProtection="1">
      <alignment horizontal="center"/>
      <protection locked="0"/>
    </xf>
    <xf numFmtId="0" fontId="43" fillId="2" borderId="0" xfId="2" applyFont="1" applyFill="1" applyAlignment="1">
      <alignment horizontal="center"/>
    </xf>
    <xf numFmtId="164" fontId="43" fillId="2" borderId="0" xfId="2" applyNumberFormat="1" applyFont="1" applyFill="1" applyBorder="1" applyAlignment="1">
      <alignment horizontal="center"/>
    </xf>
    <xf numFmtId="0" fontId="44" fillId="2" borderId="0" xfId="2" applyFont="1" applyFill="1" applyBorder="1" applyAlignment="1">
      <alignment vertical="center"/>
    </xf>
    <xf numFmtId="164" fontId="43" fillId="2" borderId="0" xfId="2" applyNumberFormat="1" applyFont="1" applyFill="1" applyBorder="1" applyAlignment="1">
      <alignment horizontal="center" vertical="center"/>
    </xf>
    <xf numFmtId="0" fontId="44" fillId="2" borderId="0" xfId="2" applyFont="1" applyFill="1" applyBorder="1" applyAlignment="1">
      <alignment horizontal="center" vertical="center"/>
    </xf>
    <xf numFmtId="166" fontId="44" fillId="2" borderId="0" xfId="1" applyNumberFormat="1" applyFont="1" applyFill="1" applyBorder="1" applyAlignment="1">
      <alignment vertical="center"/>
    </xf>
    <xf numFmtId="166" fontId="52" fillId="2" borderId="0" xfId="2" applyNumberFormat="1" applyFont="1" applyFill="1" applyBorder="1"/>
    <xf numFmtId="166" fontId="52" fillId="2" borderId="0" xfId="2" applyNumberFormat="1" applyFont="1" applyFill="1" applyBorder="1" applyAlignment="1">
      <alignment horizontal="center"/>
    </xf>
    <xf numFmtId="166" fontId="52" fillId="2" borderId="0" xfId="2" applyNumberFormat="1" applyFont="1" applyFill="1" applyBorder="1" applyAlignment="1">
      <alignment horizontal="center" vertical="center"/>
    </xf>
    <xf numFmtId="9" fontId="59" fillId="2" borderId="0" xfId="5" applyFont="1" applyFill="1" applyBorder="1"/>
    <xf numFmtId="165" fontId="50" fillId="2" borderId="0" xfId="4" applyNumberFormat="1" applyFont="1" applyFill="1" applyBorder="1" applyAlignment="1">
      <alignment vertical="center"/>
    </xf>
    <xf numFmtId="165" fontId="52" fillId="2" borderId="0" xfId="4" applyNumberFormat="1" applyFont="1" applyFill="1" applyBorder="1" applyAlignment="1">
      <alignment vertical="center"/>
    </xf>
    <xf numFmtId="0" fontId="52" fillId="2" borderId="0" xfId="2" applyFont="1" applyFill="1" applyBorder="1" applyAlignment="1">
      <alignment vertical="justify" wrapText="1"/>
    </xf>
    <xf numFmtId="0" fontId="34" fillId="2" borderId="0" xfId="2" applyFont="1" applyFill="1" applyBorder="1" applyAlignment="1">
      <alignment wrapText="1"/>
    </xf>
    <xf numFmtId="0" fontId="34" fillId="2" borderId="0" xfId="2" applyFont="1" applyFill="1" applyBorder="1" applyAlignment="1">
      <alignment horizontal="left" wrapText="1"/>
    </xf>
    <xf numFmtId="0" fontId="52" fillId="2" borderId="0" xfId="2" applyFont="1" applyFill="1" applyBorder="1" applyAlignment="1">
      <alignment horizontal="left" vertical="justify" wrapText="1"/>
    </xf>
    <xf numFmtId="0" fontId="28" fillId="2" borderId="0" xfId="2" applyFont="1" applyFill="1" applyAlignment="1">
      <alignment horizontal="center"/>
    </xf>
    <xf numFmtId="0" fontId="26" fillId="2" borderId="0" xfId="2" applyFont="1" applyFill="1" applyBorder="1" applyAlignment="1" applyProtection="1">
      <alignment horizontal="center"/>
      <protection locked="0"/>
    </xf>
    <xf numFmtId="0" fontId="44" fillId="2" borderId="0" xfId="2" applyFont="1" applyFill="1" applyAlignment="1">
      <alignment horizontal="left"/>
    </xf>
    <xf numFmtId="0" fontId="45" fillId="2" borderId="0" xfId="2" applyFont="1" applyFill="1" applyAlignment="1">
      <alignment horizontal="center"/>
    </xf>
    <xf numFmtId="1" fontId="44" fillId="2" borderId="0" xfId="2" applyNumberFormat="1" applyFont="1" applyFill="1" applyAlignment="1">
      <alignment horizontal="center"/>
    </xf>
    <xf numFmtId="1" fontId="43" fillId="2" borderId="0" xfId="2" applyNumberFormat="1" applyFont="1" applyFill="1" applyAlignment="1">
      <alignment horizontal="center"/>
    </xf>
    <xf numFmtId="0" fontId="44" fillId="2" borderId="0" xfId="2" quotePrefix="1" applyFont="1" applyFill="1" applyAlignment="1">
      <alignment horizontal="center"/>
    </xf>
    <xf numFmtId="164" fontId="43" fillId="2" borderId="0" xfId="2" applyNumberFormat="1" applyFont="1" applyFill="1" applyAlignment="1">
      <alignment horizontal="center"/>
    </xf>
    <xf numFmtId="0" fontId="17" fillId="2" borderId="0" xfId="2" applyFont="1" applyFill="1" applyAlignment="1">
      <alignment horizontal="center"/>
    </xf>
    <xf numFmtId="0" fontId="44" fillId="2" borderId="11" xfId="2" applyFont="1" applyFill="1" applyBorder="1"/>
    <xf numFmtId="0" fontId="44" fillId="2" borderId="11" xfId="2" applyFont="1" applyFill="1" applyBorder="1" applyAlignment="1">
      <alignment horizontal="center"/>
    </xf>
    <xf numFmtId="0" fontId="45" fillId="2" borderId="0" xfId="2" applyFont="1" applyFill="1" applyBorder="1" applyAlignment="1">
      <alignment horizontal="center"/>
    </xf>
    <xf numFmtId="0" fontId="44" fillId="2" borderId="0" xfId="2" quotePrefix="1" applyFont="1" applyFill="1" applyBorder="1" applyAlignment="1">
      <alignment horizontal="center"/>
    </xf>
    <xf numFmtId="0" fontId="44" fillId="2" borderId="12" xfId="2" applyFont="1" applyFill="1" applyBorder="1" applyAlignment="1">
      <alignment horizontal="center"/>
    </xf>
    <xf numFmtId="0" fontId="43" fillId="2" borderId="12" xfId="2" applyFont="1" applyFill="1" applyBorder="1" applyAlignment="1">
      <alignment horizontal="center"/>
    </xf>
    <xf numFmtId="1" fontId="44" fillId="2" borderId="12" xfId="2" applyNumberFormat="1" applyFont="1" applyFill="1" applyBorder="1" applyAlignment="1">
      <alignment horizontal="center"/>
    </xf>
    <xf numFmtId="0" fontId="44" fillId="2" borderId="12" xfId="2" applyFont="1" applyFill="1" applyBorder="1"/>
    <xf numFmtId="1" fontId="43" fillId="2" borderId="12" xfId="2" applyNumberFormat="1" applyFont="1" applyFill="1" applyBorder="1" applyAlignment="1">
      <alignment horizontal="center"/>
    </xf>
    <xf numFmtId="164" fontId="43" fillId="2" borderId="12" xfId="2" applyNumberFormat="1" applyFont="1" applyFill="1" applyBorder="1" applyAlignment="1">
      <alignment horizontal="center"/>
    </xf>
    <xf numFmtId="0" fontId="43" fillId="2" borderId="11" xfId="2" applyFont="1" applyFill="1" applyBorder="1" applyAlignment="1">
      <alignment horizontal="center"/>
    </xf>
    <xf numFmtId="1" fontId="43" fillId="2" borderId="11" xfId="2" applyNumberFormat="1" applyFont="1" applyFill="1" applyBorder="1" applyAlignment="1">
      <alignment horizontal="center"/>
    </xf>
    <xf numFmtId="1" fontId="44" fillId="2" borderId="11" xfId="2" applyNumberFormat="1" applyFont="1" applyFill="1" applyBorder="1" applyAlignment="1">
      <alignment horizontal="center"/>
    </xf>
    <xf numFmtId="0" fontId="43" fillId="3" borderId="6" xfId="2" applyFont="1" applyFill="1" applyBorder="1" applyAlignment="1">
      <alignment horizontal="center"/>
    </xf>
    <xf numFmtId="0" fontId="44" fillId="3" borderId="1" xfId="2" applyFont="1" applyFill="1" applyBorder="1" applyAlignment="1">
      <alignment horizontal="center"/>
    </xf>
    <xf numFmtId="0" fontId="43" fillId="3" borderId="1" xfId="2" applyFont="1" applyFill="1" applyBorder="1" applyAlignment="1">
      <alignment horizontal="center"/>
    </xf>
    <xf numFmtId="0" fontId="34" fillId="2" borderId="0" xfId="2" applyFont="1" applyFill="1" applyAlignment="1">
      <alignment horizontal="center"/>
    </xf>
    <xf numFmtId="0" fontId="34" fillId="2" borderId="11" xfId="2" applyFont="1" applyFill="1" applyBorder="1" applyAlignment="1">
      <alignment horizontal="center"/>
    </xf>
    <xf numFmtId="0" fontId="34" fillId="2" borderId="11" xfId="2" applyFont="1" applyFill="1" applyBorder="1"/>
    <xf numFmtId="0" fontId="60" fillId="2" borderId="12" xfId="2" applyFont="1" applyFill="1" applyBorder="1" applyAlignment="1">
      <alignment horizontal="center"/>
    </xf>
    <xf numFmtId="0" fontId="60" fillId="2" borderId="0" xfId="2" applyFont="1" applyFill="1" applyAlignment="1">
      <alignment horizontal="center"/>
    </xf>
    <xf numFmtId="0" fontId="60" fillId="2" borderId="0" xfId="2" applyFont="1" applyFill="1" applyBorder="1" applyAlignment="1">
      <alignment horizontal="center"/>
    </xf>
    <xf numFmtId="166" fontId="44" fillId="6" borderId="1" xfId="1" applyNumberFormat="1" applyFont="1" applyFill="1" applyBorder="1" applyAlignment="1" applyProtection="1">
      <alignment horizontal="center"/>
      <protection locked="0"/>
    </xf>
    <xf numFmtId="166" fontId="34" fillId="2" borderId="0" xfId="1" applyNumberFormat="1" applyFont="1" applyFill="1" applyBorder="1" applyAlignment="1">
      <alignment horizontal="center"/>
    </xf>
    <xf numFmtId="0" fontId="61" fillId="2" borderId="0" xfId="2" applyFont="1" applyFill="1"/>
    <xf numFmtId="0" fontId="51" fillId="2" borderId="0" xfId="2" applyFont="1" applyFill="1" applyAlignment="1">
      <alignment horizontal="center"/>
    </xf>
    <xf numFmtId="0" fontId="51" fillId="2" borderId="11" xfId="2" applyFont="1" applyFill="1" applyBorder="1" applyAlignment="1">
      <alignment horizontal="center"/>
    </xf>
    <xf numFmtId="0" fontId="61" fillId="2" borderId="0" xfId="2" applyFont="1" applyFill="1" applyBorder="1" applyAlignment="1">
      <alignment horizontal="center"/>
    </xf>
    <xf numFmtId="0" fontId="51" fillId="2" borderId="0" xfId="2" applyFont="1" applyFill="1" applyBorder="1" applyAlignment="1">
      <alignment horizontal="center"/>
    </xf>
    <xf numFmtId="0" fontId="51" fillId="2" borderId="12" xfId="2" applyFont="1" applyFill="1" applyBorder="1" applyAlignment="1">
      <alignment horizontal="center"/>
    </xf>
    <xf numFmtId="0" fontId="51" fillId="2" borderId="12" xfId="2" applyFont="1" applyFill="1" applyBorder="1"/>
    <xf numFmtId="0" fontId="51" fillId="2" borderId="0" xfId="2" quotePrefix="1" applyFont="1" applyFill="1" applyBorder="1" applyAlignment="1">
      <alignment horizontal="center"/>
    </xf>
    <xf numFmtId="0" fontId="51" fillId="2" borderId="0" xfId="2" quotePrefix="1" applyFont="1" applyFill="1" applyAlignment="1">
      <alignment horizontal="center"/>
    </xf>
    <xf numFmtId="165" fontId="44" fillId="2" borderId="12" xfId="4" applyNumberFormat="1" applyFont="1" applyFill="1" applyBorder="1" applyAlignment="1">
      <alignment horizontal="center"/>
    </xf>
    <xf numFmtId="165" fontId="44" fillId="2" borderId="0" xfId="4" applyNumberFormat="1" applyFont="1" applyFill="1" applyAlignment="1">
      <alignment horizontal="center"/>
    </xf>
    <xf numFmtId="165" fontId="44" fillId="6" borderId="1" xfId="4" applyNumberFormat="1" applyFont="1" applyFill="1" applyBorder="1" applyAlignment="1" applyProtection="1">
      <alignment horizontal="center"/>
      <protection locked="0"/>
    </xf>
    <xf numFmtId="165" fontId="44" fillId="2" borderId="0" xfId="4" applyNumberFormat="1" applyFont="1" applyFill="1" applyBorder="1" applyAlignment="1" applyProtection="1">
      <alignment horizontal="center"/>
      <protection locked="0"/>
    </xf>
    <xf numFmtId="1" fontId="52" fillId="2" borderId="11" xfId="2" applyNumberFormat="1" applyFont="1" applyFill="1" applyBorder="1" applyAlignment="1">
      <alignment horizontal="center"/>
    </xf>
    <xf numFmtId="1" fontId="52" fillId="2" borderId="12" xfId="2" applyNumberFormat="1" applyFont="1" applyFill="1" applyBorder="1" applyAlignment="1">
      <alignment horizontal="center"/>
    </xf>
    <xf numFmtId="1" fontId="52" fillId="2" borderId="0" xfId="2" applyNumberFormat="1" applyFont="1" applyFill="1" applyAlignment="1">
      <alignment horizontal="center"/>
    </xf>
    <xf numFmtId="0" fontId="54" fillId="2" borderId="0" xfId="2" applyFont="1" applyFill="1" applyAlignment="1">
      <alignment horizontal="center"/>
    </xf>
    <xf numFmtId="0" fontId="52" fillId="2" borderId="11" xfId="2" applyFont="1" applyFill="1" applyBorder="1" applyAlignment="1">
      <alignment horizontal="center"/>
    </xf>
    <xf numFmtId="166" fontId="52" fillId="2" borderId="0" xfId="1" applyNumberFormat="1" applyFont="1" applyFill="1" applyBorder="1" applyAlignment="1">
      <alignment horizontal="center"/>
    </xf>
    <xf numFmtId="164" fontId="44" fillId="2" borderId="0" xfId="2" applyNumberFormat="1" applyFont="1" applyFill="1" applyBorder="1" applyAlignment="1">
      <alignment horizontal="center"/>
    </xf>
    <xf numFmtId="0" fontId="26" fillId="2" borderId="12" xfId="2" applyFill="1" applyBorder="1"/>
    <xf numFmtId="0" fontId="52" fillId="2" borderId="12" xfId="2" applyFont="1" applyFill="1" applyBorder="1" applyAlignment="1">
      <alignment horizontal="left" vertical="justify" wrapText="1"/>
    </xf>
    <xf numFmtId="0" fontId="52" fillId="2" borderId="12" xfId="2" applyFont="1" applyFill="1" applyBorder="1" applyAlignment="1">
      <alignment vertical="justify" wrapText="1"/>
    </xf>
    <xf numFmtId="0" fontId="17" fillId="2" borderId="12" xfId="2" applyFont="1" applyFill="1" applyBorder="1"/>
    <xf numFmtId="0" fontId="34" fillId="2" borderId="12" xfId="2" applyFont="1" applyFill="1" applyBorder="1" applyAlignment="1">
      <alignment wrapText="1"/>
    </xf>
    <xf numFmtId="0" fontId="26" fillId="2" borderId="12" xfId="2" applyFill="1" applyBorder="1" applyAlignment="1">
      <alignment horizontal="center"/>
    </xf>
    <xf numFmtId="43" fontId="0" fillId="2" borderId="4" xfId="1" applyFont="1" applyFill="1" applyBorder="1" applyAlignment="1">
      <alignment vertical="center" wrapText="1"/>
    </xf>
    <xf numFmtId="0" fontId="21" fillId="3" borderId="3" xfId="0" applyFont="1" applyFill="1" applyBorder="1" applyAlignment="1">
      <alignment vertical="center"/>
    </xf>
    <xf numFmtId="43" fontId="0" fillId="2" borderId="3" xfId="1" applyFont="1" applyFill="1" applyBorder="1" applyAlignment="1">
      <alignment vertical="center" wrapText="1"/>
    </xf>
    <xf numFmtId="0" fontId="21" fillId="3" borderId="2" xfId="0" applyFont="1" applyFill="1" applyBorder="1" applyAlignment="1">
      <alignment horizontal="center" vertical="center" wrapText="1"/>
    </xf>
    <xf numFmtId="0" fontId="0" fillId="2" borderId="0" xfId="0" applyFill="1" applyBorder="1" applyAlignment="1"/>
    <xf numFmtId="0" fontId="43" fillId="3" borderId="3" xfId="0" applyFont="1" applyFill="1" applyBorder="1" applyAlignment="1">
      <alignment horizontal="center" vertical="center" wrapText="1"/>
    </xf>
    <xf numFmtId="166" fontId="44" fillId="2" borderId="3" xfId="0" applyNumberFormat="1" applyFont="1" applyFill="1" applyBorder="1"/>
    <xf numFmtId="166" fontId="43" fillId="2" borderId="3" xfId="0" applyNumberFormat="1" applyFont="1" applyFill="1" applyBorder="1"/>
    <xf numFmtId="166" fontId="52" fillId="2" borderId="0" xfId="1" applyNumberFormat="1" applyFont="1" applyFill="1"/>
    <xf numFmtId="165" fontId="1" fillId="2" borderId="0" xfId="4" applyNumberFormat="1" applyFont="1" applyFill="1"/>
    <xf numFmtId="0" fontId="49" fillId="2" borderId="0" xfId="0" applyFont="1" applyFill="1"/>
    <xf numFmtId="0" fontId="52" fillId="2" borderId="0" xfId="0" applyFont="1" applyFill="1"/>
    <xf numFmtId="165" fontId="52" fillId="2" borderId="0" xfId="4" applyNumberFormat="1" applyFont="1" applyFill="1"/>
    <xf numFmtId="0" fontId="49" fillId="2" borderId="0" xfId="2" applyFont="1" applyFill="1" applyBorder="1"/>
    <xf numFmtId="166" fontId="0" fillId="6" borderId="3" xfId="1" applyNumberFormat="1" applyFont="1" applyFill="1" applyBorder="1"/>
    <xf numFmtId="166" fontId="0" fillId="6" borderId="4" xfId="1" applyNumberFormat="1" applyFont="1" applyFill="1" applyBorder="1"/>
    <xf numFmtId="0" fontId="39" fillId="2" borderId="0" xfId="0" applyFont="1" applyFill="1"/>
    <xf numFmtId="0" fontId="21" fillId="3" borderId="3" xfId="0" applyFont="1" applyFill="1" applyBorder="1" applyAlignment="1">
      <alignment horizontal="center" vertical="center"/>
    </xf>
    <xf numFmtId="0" fontId="21" fillId="3" borderId="5" xfId="0" applyFont="1" applyFill="1" applyBorder="1" applyAlignment="1">
      <alignment horizontal="center" vertical="center"/>
    </xf>
    <xf numFmtId="0" fontId="57" fillId="2" borderId="0" xfId="2" applyFont="1" applyFill="1" applyAlignment="1">
      <alignment horizontal="right"/>
    </xf>
    <xf numFmtId="165" fontId="44" fillId="2" borderId="0" xfId="4" quotePrefix="1" applyNumberFormat="1" applyFont="1" applyFill="1" applyBorder="1" applyAlignment="1">
      <alignment horizontal="center"/>
    </xf>
    <xf numFmtId="165" fontId="44" fillId="6" borderId="1" xfId="4" quotePrefix="1" applyNumberFormat="1" applyFont="1" applyFill="1" applyBorder="1" applyAlignment="1">
      <alignment horizontal="center"/>
    </xf>
    <xf numFmtId="0" fontId="26" fillId="0" borderId="0" xfId="2" applyFill="1"/>
    <xf numFmtId="0" fontId="3" fillId="2" borderId="4" xfId="0" applyFont="1" applyFill="1" applyBorder="1" applyAlignment="1">
      <alignment horizontal="center"/>
    </xf>
    <xf numFmtId="0" fontId="3" fillId="2" borderId="5" xfId="0" applyFont="1" applyFill="1" applyBorder="1" applyAlignment="1">
      <alignment horizontal="center"/>
    </xf>
    <xf numFmtId="43" fontId="0" fillId="2" borderId="4" xfId="1" applyFont="1" applyFill="1" applyBorder="1" applyAlignment="1">
      <alignment horizontal="right" vertical="center"/>
    </xf>
    <xf numFmtId="43" fontId="0" fillId="2" borderId="2" xfId="1" applyFont="1" applyFill="1" applyBorder="1" applyAlignment="1">
      <alignment horizontal="right" vertical="center"/>
    </xf>
    <xf numFmtId="0" fontId="1" fillId="3"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xf>
    <xf numFmtId="0" fontId="10" fillId="2" borderId="4" xfId="0" applyFont="1" applyFill="1" applyBorder="1" applyAlignment="1">
      <alignment horizontal="center"/>
    </xf>
    <xf numFmtId="0" fontId="10" fillId="2" borderId="2" xfId="0" applyFont="1" applyFill="1" applyBorder="1" applyAlignment="1">
      <alignment horizontal="center"/>
    </xf>
    <xf numFmtId="0" fontId="10" fillId="2" borderId="5" xfId="0" applyFont="1" applyFill="1" applyBorder="1" applyAlignment="1">
      <alignment horizontal="center"/>
    </xf>
    <xf numFmtId="0" fontId="2" fillId="3" borderId="3" xfId="0" applyFont="1" applyFill="1" applyBorder="1" applyAlignment="1">
      <alignment horizontal="center" vertical="center"/>
    </xf>
    <xf numFmtId="0" fontId="4" fillId="2" borderId="3" xfId="0" applyFont="1" applyFill="1" applyBorder="1" applyAlignment="1">
      <alignment horizontal="center"/>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43" fontId="0" fillId="2" borderId="5" xfId="1" applyFont="1" applyFill="1" applyBorder="1" applyAlignment="1">
      <alignment horizontal="right" vertic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16"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4" fillId="2" borderId="3" xfId="0" applyFont="1" applyFill="1" applyBorder="1" applyAlignment="1">
      <alignment horizontal="center" vertical="center"/>
    </xf>
    <xf numFmtId="0" fontId="15" fillId="2" borderId="3" xfId="0" applyFont="1" applyFill="1" applyBorder="1" applyAlignment="1">
      <alignment horizontal="center" vertical="center"/>
    </xf>
    <xf numFmtId="0" fontId="2" fillId="3" borderId="5" xfId="0" applyFont="1" applyFill="1" applyBorder="1" applyAlignment="1">
      <alignment horizontal="center" vertical="center"/>
    </xf>
    <xf numFmtId="0" fontId="10" fillId="2" borderId="3" xfId="0" applyFont="1" applyFill="1" applyBorder="1" applyAlignment="1">
      <alignment horizontal="center"/>
    </xf>
    <xf numFmtId="0" fontId="17"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0" fillId="2" borderId="3" xfId="0" applyFont="1" applyFill="1" applyBorder="1" applyAlignment="1">
      <alignment horizontal="center" wrapText="1"/>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5" xfId="0" applyFont="1" applyFill="1" applyBorder="1" applyAlignment="1">
      <alignment horizontal="center" vertical="center"/>
    </xf>
    <xf numFmtId="0" fontId="0" fillId="2" borderId="4" xfId="0" applyFill="1" applyBorder="1" applyAlignment="1">
      <alignment horizontal="left" vertical="center"/>
    </xf>
    <xf numFmtId="0" fontId="0" fillId="2" borderId="5" xfId="0"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10" fillId="2" borderId="0" xfId="0" applyFont="1" applyFill="1" applyBorder="1" applyAlignment="1">
      <alignment horizontal="center"/>
    </xf>
    <xf numFmtId="0" fontId="10" fillId="2" borderId="0" xfId="0" applyFont="1" applyFill="1" applyAlignment="1">
      <alignment horizontal="center" wrapText="1"/>
    </xf>
    <xf numFmtId="0" fontId="10" fillId="2" borderId="6" xfId="0" applyFont="1" applyFill="1" applyBorder="1" applyAlignment="1">
      <alignment horizontal="center"/>
    </xf>
    <xf numFmtId="0" fontId="7" fillId="2" borderId="0" xfId="0" applyFont="1" applyFill="1" applyAlignment="1">
      <alignment horizontal="center" vertical="center"/>
    </xf>
    <xf numFmtId="0" fontId="10" fillId="2" borderId="1" xfId="0" applyFont="1" applyFill="1" applyBorder="1" applyAlignment="1">
      <alignment horizontal="center"/>
    </xf>
    <xf numFmtId="0" fontId="8" fillId="2" borderId="0" xfId="0" applyFont="1" applyFill="1" applyAlignment="1">
      <alignment horizontal="center"/>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3" fillId="2" borderId="0" xfId="0" applyFont="1" applyFill="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3" fillId="2" borderId="3" xfId="0" applyFont="1" applyFill="1" applyBorder="1" applyAlignment="1">
      <alignment horizontal="center" wrapText="1"/>
    </xf>
    <xf numFmtId="0" fontId="21" fillId="3" borderId="0" xfId="0" applyFont="1" applyFill="1" applyAlignment="1">
      <alignment horizontal="left" vertical="center"/>
    </xf>
    <xf numFmtId="0" fontId="34" fillId="2" borderId="0" xfId="2" applyFont="1" applyFill="1" applyBorder="1" applyAlignment="1">
      <alignment horizontal="left" vertical="top" wrapText="1"/>
    </xf>
    <xf numFmtId="0" fontId="34" fillId="2" borderId="0" xfId="2" applyFont="1" applyFill="1" applyBorder="1" applyAlignment="1">
      <alignment horizontal="left" wrapText="1"/>
    </xf>
    <xf numFmtId="0" fontId="49" fillId="2" borderId="15" xfId="0" applyFont="1" applyFill="1" applyBorder="1" applyAlignment="1">
      <alignment horizontal="center" vertical="center" wrapText="1"/>
    </xf>
    <xf numFmtId="0" fontId="49" fillId="2" borderId="16" xfId="0" applyFont="1" applyFill="1" applyBorder="1" applyAlignment="1">
      <alignment horizontal="center" vertical="center" wrapText="1"/>
    </xf>
    <xf numFmtId="0" fontId="49" fillId="2" borderId="11" xfId="0" applyFont="1" applyFill="1" applyBorder="1" applyAlignment="1">
      <alignment horizontal="center" vertical="center" wrapText="1"/>
    </xf>
    <xf numFmtId="0" fontId="49" fillId="2" borderId="12" xfId="0" applyFont="1" applyFill="1" applyBorder="1" applyAlignment="1">
      <alignment horizontal="center" vertical="center" wrapText="1"/>
    </xf>
    <xf numFmtId="0" fontId="49" fillId="2" borderId="13" xfId="0" applyFont="1" applyFill="1" applyBorder="1" applyAlignment="1">
      <alignment horizontal="center" vertical="center" wrapText="1"/>
    </xf>
    <xf numFmtId="0" fontId="49" fillId="2" borderId="14" xfId="0" applyFont="1" applyFill="1" applyBorder="1" applyAlignment="1">
      <alignment horizontal="center" vertical="center" wrapText="1"/>
    </xf>
    <xf numFmtId="0" fontId="63" fillId="2" borderId="0" xfId="2" applyFont="1" applyFill="1" applyBorder="1" applyAlignment="1">
      <alignment horizontal="left" wrapText="1"/>
    </xf>
    <xf numFmtId="0" fontId="21" fillId="3" borderId="11" xfId="0" applyFont="1" applyFill="1" applyBorder="1" applyAlignment="1">
      <alignment horizontal="center" vertical="center" wrapText="1"/>
    </xf>
    <xf numFmtId="0" fontId="21" fillId="3" borderId="0"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1" fillId="3" borderId="3" xfId="0" applyFont="1" applyFill="1" applyBorder="1" applyAlignment="1">
      <alignment horizontal="center" vertical="center"/>
    </xf>
    <xf numFmtId="0" fontId="0" fillId="2" borderId="3" xfId="0" applyFill="1" applyBorder="1" applyAlignment="1">
      <alignment horizontal="center" vertical="center" wrapText="1"/>
    </xf>
    <xf numFmtId="0" fontId="39" fillId="2" borderId="0" xfId="0" applyFont="1" applyFill="1" applyAlignment="1">
      <alignment horizontal="left" vertical="center" wrapText="1"/>
    </xf>
    <xf numFmtId="0" fontId="39" fillId="2" borderId="0" xfId="0" applyFont="1" applyFill="1" applyAlignment="1">
      <alignment horizontal="left" vertical="center"/>
    </xf>
    <xf numFmtId="0" fontId="36" fillId="2" borderId="0" xfId="2" applyFont="1" applyFill="1" applyAlignment="1">
      <alignment horizontal="center" vertical="center" wrapText="1"/>
    </xf>
    <xf numFmtId="0" fontId="21" fillId="3" borderId="4" xfId="0" applyFont="1" applyFill="1" applyBorder="1" applyAlignment="1">
      <alignment horizontal="center" vertical="center"/>
    </xf>
    <xf numFmtId="0" fontId="21" fillId="3" borderId="5" xfId="0" applyFont="1" applyFill="1" applyBorder="1" applyAlignment="1">
      <alignment horizontal="center" vertical="center"/>
    </xf>
    <xf numFmtId="0" fontId="21" fillId="3" borderId="3" xfId="0" applyFont="1" applyFill="1" applyBorder="1" applyAlignment="1">
      <alignment horizontal="center" vertical="center" wrapText="1"/>
    </xf>
    <xf numFmtId="0" fontId="43" fillId="3" borderId="0" xfId="2" applyFont="1" applyFill="1" applyBorder="1" applyAlignment="1">
      <alignment horizontal="left" vertical="center"/>
    </xf>
    <xf numFmtId="0" fontId="52" fillId="2" borderId="0" xfId="2" applyFont="1" applyFill="1" applyBorder="1" applyAlignment="1">
      <alignment horizontal="left" vertical="justify" wrapText="1"/>
    </xf>
    <xf numFmtId="0" fontId="43" fillId="3" borderId="0" xfId="2" applyFont="1" applyFill="1" applyAlignment="1">
      <alignment horizontal="left" vertical="center"/>
    </xf>
    <xf numFmtId="0" fontId="44" fillId="2" borderId="0" xfId="2" applyFont="1" applyFill="1" applyAlignment="1">
      <alignment horizontal="left" wrapText="1"/>
    </xf>
    <xf numFmtId="0" fontId="36" fillId="2" borderId="0" xfId="2" applyFont="1" applyFill="1" applyAlignment="1">
      <alignment horizontal="center" wrapText="1"/>
    </xf>
    <xf numFmtId="0" fontId="36" fillId="2" borderId="0" xfId="2" applyFont="1" applyFill="1" applyAlignment="1">
      <alignment horizontal="center"/>
    </xf>
    <xf numFmtId="0" fontId="57" fillId="2" borderId="0" xfId="2" applyFont="1" applyFill="1" applyAlignment="1">
      <alignment horizontal="center" wrapText="1"/>
    </xf>
    <xf numFmtId="0" fontId="43" fillId="3" borderId="0" xfId="2" applyFont="1" applyFill="1" applyAlignment="1">
      <alignment horizontal="left"/>
    </xf>
    <xf numFmtId="0" fontId="17" fillId="2" borderId="0" xfId="2" applyFont="1" applyFill="1" applyBorder="1" applyAlignment="1">
      <alignment horizontal="left" wrapText="1"/>
    </xf>
    <xf numFmtId="0" fontId="31" fillId="2" borderId="0" xfId="2" applyFont="1" applyFill="1" applyAlignment="1">
      <alignment horizontal="left" vertical="top" wrapText="1"/>
    </xf>
    <xf numFmtId="0" fontId="31" fillId="2" borderId="12" xfId="2" applyFont="1" applyFill="1" applyBorder="1" applyAlignment="1">
      <alignment horizontal="left" vertical="top" wrapText="1"/>
    </xf>
    <xf numFmtId="0" fontId="43" fillId="3" borderId="15" xfId="2" applyFont="1" applyFill="1" applyBorder="1" applyAlignment="1">
      <alignment horizontal="center" wrapText="1"/>
    </xf>
    <xf numFmtId="0" fontId="43" fillId="3" borderId="6" xfId="2" applyFont="1" applyFill="1" applyBorder="1" applyAlignment="1">
      <alignment horizontal="center" wrapText="1"/>
    </xf>
    <xf numFmtId="0" fontId="43" fillId="3" borderId="16" xfId="2" applyFont="1" applyFill="1" applyBorder="1" applyAlignment="1">
      <alignment horizontal="center" wrapText="1"/>
    </xf>
    <xf numFmtId="0" fontId="43" fillId="3" borderId="13" xfId="2" applyFont="1" applyFill="1" applyBorder="1" applyAlignment="1">
      <alignment horizontal="center" wrapText="1"/>
    </xf>
    <xf numFmtId="0" fontId="43" fillId="3" borderId="1" xfId="2" applyFont="1" applyFill="1" applyBorder="1" applyAlignment="1">
      <alignment horizontal="center" wrapText="1"/>
    </xf>
    <xf numFmtId="0" fontId="43" fillId="3" borderId="14" xfId="2" applyFont="1" applyFill="1" applyBorder="1" applyAlignment="1">
      <alignment horizontal="center" wrapText="1"/>
    </xf>
    <xf numFmtId="0" fontId="43" fillId="3" borderId="15" xfId="2" applyFont="1" applyFill="1" applyBorder="1" applyAlignment="1">
      <alignment horizontal="center" vertical="center"/>
    </xf>
    <xf numFmtId="0" fontId="43" fillId="3" borderId="6" xfId="2" applyFont="1" applyFill="1" applyBorder="1" applyAlignment="1">
      <alignment horizontal="center" vertical="center"/>
    </xf>
    <xf numFmtId="0" fontId="43" fillId="3" borderId="13" xfId="2" applyFont="1" applyFill="1" applyBorder="1" applyAlignment="1">
      <alignment horizontal="center" vertical="center"/>
    </xf>
    <xf numFmtId="0" fontId="43" fillId="3" borderId="1" xfId="2" applyFont="1" applyFill="1" applyBorder="1" applyAlignment="1">
      <alignment horizontal="center" vertical="center"/>
    </xf>
    <xf numFmtId="0" fontId="43" fillId="3" borderId="16" xfId="2" applyFont="1" applyFill="1" applyBorder="1" applyAlignment="1">
      <alignment horizontal="center" vertical="center"/>
    </xf>
    <xf numFmtId="0" fontId="43" fillId="3" borderId="14" xfId="2" applyFont="1" applyFill="1" applyBorder="1" applyAlignment="1">
      <alignment horizontal="center" vertical="center"/>
    </xf>
  </cellXfs>
  <cellStyles count="6">
    <cellStyle name="Euro" xfId="3"/>
    <cellStyle name="Millares" xfId="1" builtinId="3"/>
    <cellStyle name="Moneda" xfId="4" builtinId="4"/>
    <cellStyle name="Normal" xfId="0" builtinId="0"/>
    <cellStyle name="Normal 2" xfId="2"/>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Drop" dropLines="5" dropStyle="combo" dx="16" fmlaLink="'detector presencia'!$C$11" fmlaRange="'detector presencia'!$A$10:$A$17" sel="4" val="0"/>
</file>

<file path=xl/ctrlProps/ctrlProp10.xml><?xml version="1.0" encoding="utf-8"?>
<formControlPr xmlns="http://schemas.microsoft.com/office/spreadsheetml/2009/9/main" objectType="Drop" dropLines="2" dropStyle="combo" dx="16" fmlaLink="'detector presencia'!$C$5" fmlaRange="'detector presencia'!$A$3:$A$4" sel="2" val="0"/>
</file>

<file path=xl/ctrlProps/ctrlProp11.xml><?xml version="1.0" encoding="utf-8"?>
<formControlPr xmlns="http://schemas.microsoft.com/office/spreadsheetml/2009/9/main" objectType="Drop" dropLines="9" dropStyle="combo" dx="16" fmlaLink="Retrofit!$E$2" fmlaRange="Retrofit!$A$2:$A$13" sel="5" val="3"/>
</file>

<file path=xl/ctrlProps/ctrlProp12.xml><?xml version="1.0" encoding="utf-8"?>
<formControlPr xmlns="http://schemas.microsoft.com/office/spreadsheetml/2009/9/main" objectType="Drop" dropStyle="combo" dx="16" fmlaLink="Retrofit!$D$16" fmlaRange="Retrofit!$A$17:$A$26" sel="3" val="2"/>
</file>

<file path=xl/ctrlProps/ctrlProp13.xml><?xml version="1.0" encoding="utf-8"?>
<formControlPr xmlns="http://schemas.microsoft.com/office/spreadsheetml/2009/9/main" objectType="Drop" dropLines="3" dropStyle="combo" dx="16" fmlaLink="Retrofit!$D$28" fmlaRange="Retrofit!$A$29:$A$31" sel="2" val="0"/>
</file>

<file path=xl/ctrlProps/ctrlProp14.xml><?xml version="1.0" encoding="utf-8"?>
<formControlPr xmlns="http://schemas.microsoft.com/office/spreadsheetml/2009/9/main" objectType="Drop" dropStyle="combo" dx="16" fmlaLink="Sustitución!$D$13" fmlaRange="Sustitución!$A$13:$A$16" sel="3" val="0"/>
</file>

<file path=xl/ctrlProps/ctrlProp15.xml><?xml version="1.0" encoding="utf-8"?>
<formControlPr xmlns="http://schemas.microsoft.com/office/spreadsheetml/2009/9/main" objectType="Drop" dropStyle="combo" dx="16" fmlaLink="Sustitución!$D$1" fmlaRange="Sustitución!$A$1:$A$3" sel="3" val="0"/>
</file>

<file path=xl/ctrlProps/ctrlProp2.xml><?xml version="1.0" encoding="utf-8"?>
<formControlPr xmlns="http://schemas.microsoft.com/office/spreadsheetml/2009/9/main" objectType="Drop" dropLines="4" dropStyle="combo" dx="16" fmlaLink="'detector presencia'!$D$23" fmlaRange="'detector presencia'!$A$22:$A$25" sel="3" val="0"/>
</file>

<file path=xl/ctrlProps/ctrlProp3.xml><?xml version="1.0" encoding="utf-8"?>
<formControlPr xmlns="http://schemas.microsoft.com/office/spreadsheetml/2009/9/main" objectType="Drop" dropLines="5" dropStyle="combo" dx="16" fmlaLink="'detector presencia'!$C$11" fmlaRange="'detector presencia'!$A$10:$A$17" sel="4" val="3"/>
</file>

<file path=xl/ctrlProps/ctrlProp4.xml><?xml version="1.0" encoding="utf-8"?>
<formControlPr xmlns="http://schemas.microsoft.com/office/spreadsheetml/2009/9/main" objectType="Drop" dropLines="4" dropStyle="combo" dx="16" fmlaLink="'detector presencia'!$D$23" fmlaRange="'detector presencia'!$A$22:$A$25" sel="3" val="0"/>
</file>

<file path=xl/ctrlProps/ctrlProp5.xml><?xml version="1.0" encoding="utf-8"?>
<formControlPr xmlns="http://schemas.microsoft.com/office/spreadsheetml/2009/9/main" objectType="Drop" dropLines="2" dropStyle="combo" dx="16" fmlaLink="'detector presencia'!$D$4" fmlaRange="'detector presencia'!$A$3:$A$4" val="0"/>
</file>

<file path=xl/ctrlProps/ctrlProp6.xml><?xml version="1.0" encoding="utf-8"?>
<formControlPr xmlns="http://schemas.microsoft.com/office/spreadsheetml/2009/9/main" objectType="Drop" dropLines="2" dropStyle="combo" dx="16" fmlaLink="'detector presencia'!$D$5" fmlaRange="'detector presencia'!$A$3:$A$4" sel="2" val="0"/>
</file>

<file path=xl/ctrlProps/ctrlProp7.xml><?xml version="1.0" encoding="utf-8"?>
<formControlPr xmlns="http://schemas.microsoft.com/office/spreadsheetml/2009/9/main" objectType="Drop" dropLines="2" dropStyle="combo" dx="16" fmlaLink="'detector presencia'!$E$4" fmlaRange="'detector presencia'!$A$3:$A$4" val="0"/>
</file>

<file path=xl/ctrlProps/ctrlProp8.xml><?xml version="1.0" encoding="utf-8"?>
<formControlPr xmlns="http://schemas.microsoft.com/office/spreadsheetml/2009/9/main" objectType="Drop" dropLines="2" dropStyle="combo" dx="16" fmlaLink="'detector presencia'!$E$5" fmlaRange="'detector presencia'!$A$3:$A$4" sel="2" val="0"/>
</file>

<file path=xl/ctrlProps/ctrlProp9.xml><?xml version="1.0" encoding="utf-8"?>
<formControlPr xmlns="http://schemas.microsoft.com/office/spreadsheetml/2009/9/main" objectType="Drop" dropLines="2" dropStyle="combo" dx="16" fmlaLink="'detector presencia'!$C$4" fmlaRange="'detector presencia'!$A$3:$A$4" sel="2" val="0"/>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552450</xdr:colOff>
          <xdr:row>26</xdr:row>
          <xdr:rowOff>19050</xdr:rowOff>
        </xdr:from>
        <xdr:to>
          <xdr:col>7</xdr:col>
          <xdr:colOff>657225</xdr:colOff>
          <xdr:row>27</xdr:row>
          <xdr:rowOff>28575</xdr:rowOff>
        </xdr:to>
        <xdr:sp macro="" textlink="">
          <xdr:nvSpPr>
            <xdr:cNvPr id="20483" name="Drop Down 3" hidden="1">
              <a:extLst>
                <a:ext uri="{63B3BB69-23CF-44E3-9099-C40C66FF867C}">
                  <a14:compatExt spid="_x0000_s204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28</xdr:row>
          <xdr:rowOff>28575</xdr:rowOff>
        </xdr:from>
        <xdr:to>
          <xdr:col>7</xdr:col>
          <xdr:colOff>657225</xdr:colOff>
          <xdr:row>29</xdr:row>
          <xdr:rowOff>38100</xdr:rowOff>
        </xdr:to>
        <xdr:sp macro="" textlink="">
          <xdr:nvSpPr>
            <xdr:cNvPr id="20484" name="Drop Down 4" hidden="1">
              <a:extLst>
                <a:ext uri="{63B3BB69-23CF-44E3-9099-C40C66FF867C}">
                  <a14:compatExt spid="_x0000_s2048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21</xdr:row>
          <xdr:rowOff>0</xdr:rowOff>
        </xdr:from>
        <xdr:to>
          <xdr:col>8</xdr:col>
          <xdr:colOff>133350</xdr:colOff>
          <xdr:row>22</xdr:row>
          <xdr:rowOff>0</xdr:rowOff>
        </xdr:to>
        <xdr:sp macro="" textlink="">
          <xdr:nvSpPr>
            <xdr:cNvPr id="7169" name="Drop Down 1" hidden="1">
              <a:extLst>
                <a:ext uri="{63B3BB69-23CF-44E3-9099-C40C66FF867C}">
                  <a14:compatExt spid="_x0000_s71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22</xdr:row>
          <xdr:rowOff>57150</xdr:rowOff>
        </xdr:from>
        <xdr:to>
          <xdr:col>8</xdr:col>
          <xdr:colOff>133350</xdr:colOff>
          <xdr:row>23</xdr:row>
          <xdr:rowOff>180975</xdr:rowOff>
        </xdr:to>
        <xdr:sp macro="" textlink="">
          <xdr:nvSpPr>
            <xdr:cNvPr id="7170" name="Drop Down 2" hidden="1">
              <a:extLst>
                <a:ext uri="{63B3BB69-23CF-44E3-9099-C40C66FF867C}">
                  <a14:compatExt spid="_x0000_s7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41</xdr:row>
          <xdr:rowOff>19050</xdr:rowOff>
        </xdr:from>
        <xdr:to>
          <xdr:col>7</xdr:col>
          <xdr:colOff>457200</xdr:colOff>
          <xdr:row>42</xdr:row>
          <xdr:rowOff>28575</xdr:rowOff>
        </xdr:to>
        <xdr:sp macro="" textlink="">
          <xdr:nvSpPr>
            <xdr:cNvPr id="7171" name="Drop Down 3" hidden="1">
              <a:extLst>
                <a:ext uri="{63B3BB69-23CF-44E3-9099-C40C66FF867C}">
                  <a14:compatExt spid="_x0000_s71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43</xdr:row>
          <xdr:rowOff>28575</xdr:rowOff>
        </xdr:from>
        <xdr:to>
          <xdr:col>7</xdr:col>
          <xdr:colOff>457200</xdr:colOff>
          <xdr:row>44</xdr:row>
          <xdr:rowOff>38100</xdr:rowOff>
        </xdr:to>
        <xdr:sp macro="" textlink="">
          <xdr:nvSpPr>
            <xdr:cNvPr id="7172" name="Drop Down 4" hidden="1">
              <a:extLst>
                <a:ext uri="{63B3BB69-23CF-44E3-9099-C40C66FF867C}">
                  <a14:compatExt spid="_x0000_s717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28</xdr:row>
          <xdr:rowOff>0</xdr:rowOff>
        </xdr:from>
        <xdr:to>
          <xdr:col>8</xdr:col>
          <xdr:colOff>133350</xdr:colOff>
          <xdr:row>29</xdr:row>
          <xdr:rowOff>28575</xdr:rowOff>
        </xdr:to>
        <xdr:sp macro="" textlink="">
          <xdr:nvSpPr>
            <xdr:cNvPr id="7173" name="Drop Down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29</xdr:row>
          <xdr:rowOff>47625</xdr:rowOff>
        </xdr:from>
        <xdr:to>
          <xdr:col>8</xdr:col>
          <xdr:colOff>142875</xdr:colOff>
          <xdr:row>31</xdr:row>
          <xdr:rowOff>19050</xdr:rowOff>
        </xdr:to>
        <xdr:sp macro="" textlink="">
          <xdr:nvSpPr>
            <xdr:cNvPr id="7174" name="Drop Down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34</xdr:row>
          <xdr:rowOff>0</xdr:rowOff>
        </xdr:from>
        <xdr:to>
          <xdr:col>8</xdr:col>
          <xdr:colOff>133350</xdr:colOff>
          <xdr:row>35</xdr:row>
          <xdr:rowOff>28575</xdr:rowOff>
        </xdr:to>
        <xdr:sp macro="" textlink="">
          <xdr:nvSpPr>
            <xdr:cNvPr id="7175" name="Drop Down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35</xdr:row>
          <xdr:rowOff>47625</xdr:rowOff>
        </xdr:from>
        <xdr:to>
          <xdr:col>8</xdr:col>
          <xdr:colOff>142875</xdr:colOff>
          <xdr:row>37</xdr:row>
          <xdr:rowOff>9525</xdr:rowOff>
        </xdr:to>
        <xdr:sp macro="" textlink="">
          <xdr:nvSpPr>
            <xdr:cNvPr id="7176" name="Drop Down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5</xdr:row>
          <xdr:rowOff>9525</xdr:rowOff>
        </xdr:from>
        <xdr:to>
          <xdr:col>7</xdr:col>
          <xdr:colOff>0</xdr:colOff>
          <xdr:row>6</xdr:row>
          <xdr:rowOff>19050</xdr:rowOff>
        </xdr:to>
        <xdr:sp macro="" textlink="">
          <xdr:nvSpPr>
            <xdr:cNvPr id="3073" name="Drop Down 1" hidden="1">
              <a:extLst>
                <a:ext uri="{63B3BB69-23CF-44E3-9099-C40C66FF867C}">
                  <a14:compatExt spid="_x0000_s30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9525</xdr:rowOff>
        </xdr:from>
        <xdr:to>
          <xdr:col>7</xdr:col>
          <xdr:colOff>0</xdr:colOff>
          <xdr:row>21</xdr:row>
          <xdr:rowOff>19050</xdr:rowOff>
        </xdr:to>
        <xdr:sp macro="" textlink="">
          <xdr:nvSpPr>
            <xdr:cNvPr id="3074" name="Drop Down 2" hidden="1">
              <a:extLst>
                <a:ext uri="{63B3BB69-23CF-44E3-9099-C40C66FF867C}">
                  <a14:compatExt spid="_x0000_s30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0</xdr:rowOff>
        </xdr:from>
        <xdr:to>
          <xdr:col>7</xdr:col>
          <xdr:colOff>0</xdr:colOff>
          <xdr:row>23</xdr:row>
          <xdr:rowOff>9525</xdr:rowOff>
        </xdr:to>
        <xdr:sp macro="" textlink="">
          <xdr:nvSpPr>
            <xdr:cNvPr id="3075" name="Drop Down 3" hidden="1">
              <a:extLst>
                <a:ext uri="{63B3BB69-23CF-44E3-9099-C40C66FF867C}">
                  <a14:compatExt spid="_x0000_s3075"/>
                </a:ext>
              </a:extLst>
            </xdr:cNvPr>
            <xdr:cNvSpPr/>
          </xdr:nvSpPr>
          <xdr:spPr>
            <a:xfrm>
              <a:off x="0" y="0"/>
              <a:ext cx="0" cy="0"/>
            </a:xfrm>
            <a:prstGeom prst="rect">
              <a:avLst/>
            </a:prstGeom>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152400</xdr:colOff>
          <xdr:row>9</xdr:row>
          <xdr:rowOff>0</xdr:rowOff>
        </xdr:from>
        <xdr:to>
          <xdr:col>4</xdr:col>
          <xdr:colOff>942975</xdr:colOff>
          <xdr:row>10</xdr:row>
          <xdr:rowOff>0</xdr:rowOff>
        </xdr:to>
        <xdr:sp macro="" textlink="">
          <xdr:nvSpPr>
            <xdr:cNvPr id="10241" name="Drop Down 1" hidden="1">
              <a:extLst>
                <a:ext uri="{63B3BB69-23CF-44E3-9099-C40C66FF867C}">
                  <a14:compatExt spid="_x0000_s10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6</xdr:row>
          <xdr:rowOff>152400</xdr:rowOff>
        </xdr:from>
        <xdr:to>
          <xdr:col>13</xdr:col>
          <xdr:colOff>266700</xdr:colOff>
          <xdr:row>7</xdr:row>
          <xdr:rowOff>152400</xdr:rowOff>
        </xdr:to>
        <xdr:sp macro="" textlink="">
          <xdr:nvSpPr>
            <xdr:cNvPr id="10242" name="Drop Down 2" hidden="1">
              <a:extLst>
                <a:ext uri="{63B3BB69-23CF-44E3-9099-C40C66FF867C}">
                  <a14:compatExt spid="_x0000_s1024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4.v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5.v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vmlDrawing" Target="../drawings/vmlDrawing6.vml"/><Relationship Id="rId9"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13.x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vmlDrawing" Target="../drawings/vmlDrawing8.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vmlDrawing" Target="../drawings/vmlDrawing10.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4"/>
  <sheetViews>
    <sheetView topLeftCell="A139" zoomScale="90" zoomScaleNormal="90" zoomScalePageLayoutView="90" workbookViewId="0">
      <selection activeCell="D146" sqref="D146"/>
    </sheetView>
  </sheetViews>
  <sheetFormatPr baseColWidth="10" defaultRowHeight="15" x14ac:dyDescent="0.25"/>
  <cols>
    <col min="1" max="1" width="5" style="1" customWidth="1"/>
    <col min="2" max="2" width="27.7109375" customWidth="1"/>
    <col min="3" max="3" width="3.28515625" style="3" customWidth="1"/>
    <col min="4" max="4" width="17.7109375" customWidth="1"/>
    <col min="5" max="5" width="16.5703125" customWidth="1"/>
    <col min="6" max="6" width="15.42578125" customWidth="1"/>
    <col min="7" max="7" width="2.7109375" customWidth="1"/>
    <col min="8" max="8" width="16.28515625" customWidth="1"/>
    <col min="9" max="9" width="3" customWidth="1"/>
    <col min="10" max="10" width="14.42578125" customWidth="1"/>
    <col min="11" max="11" width="16.42578125" customWidth="1"/>
    <col min="12" max="12" width="16.140625" style="3" customWidth="1"/>
    <col min="13" max="13" width="14.28515625" customWidth="1"/>
    <col min="14" max="14" width="2.42578125" customWidth="1"/>
  </cols>
  <sheetData>
    <row r="1" spans="1:14" s="7" customFormat="1" x14ac:dyDescent="0.25">
      <c r="A1" s="1"/>
      <c r="B1" s="338"/>
      <c r="C1" s="338"/>
      <c r="D1" s="338"/>
      <c r="E1" s="338"/>
      <c r="F1" s="338"/>
      <c r="G1" s="338"/>
      <c r="H1" s="338"/>
      <c r="I1" s="338"/>
      <c r="J1" s="338"/>
      <c r="K1" s="338"/>
      <c r="L1" s="338"/>
      <c r="M1" s="338"/>
      <c r="N1" s="1"/>
    </row>
    <row r="2" spans="1:14" ht="18" x14ac:dyDescent="0.25">
      <c r="B2" s="340" t="s">
        <v>0</v>
      </c>
      <c r="C2" s="340"/>
      <c r="D2" s="340"/>
      <c r="E2" s="340"/>
      <c r="F2" s="340"/>
      <c r="G2" s="340"/>
      <c r="H2" s="340"/>
      <c r="I2" s="340"/>
      <c r="J2" s="340"/>
      <c r="K2" s="340"/>
      <c r="L2" s="340"/>
      <c r="M2" s="340"/>
      <c r="N2" s="1"/>
    </row>
    <row r="3" spans="1:14" ht="6" customHeight="1" x14ac:dyDescent="0.25">
      <c r="B3" s="8"/>
      <c r="C3" s="8"/>
      <c r="D3" s="8"/>
      <c r="E3" s="8"/>
      <c r="F3" s="8"/>
      <c r="G3" s="8"/>
      <c r="H3" s="8"/>
      <c r="I3" s="8"/>
      <c r="J3" s="8"/>
      <c r="K3" s="8"/>
      <c r="L3" s="8"/>
      <c r="M3" s="8"/>
      <c r="N3" s="1"/>
    </row>
    <row r="4" spans="1:14" ht="18" x14ac:dyDescent="0.25">
      <c r="B4" s="340" t="s">
        <v>6</v>
      </c>
      <c r="C4" s="340"/>
      <c r="D4" s="340"/>
      <c r="E4" s="340"/>
      <c r="F4" s="340"/>
      <c r="G4" s="340"/>
      <c r="H4" s="340"/>
      <c r="I4" s="340"/>
      <c r="J4" s="340"/>
      <c r="K4" s="340"/>
      <c r="L4" s="340"/>
      <c r="M4" s="340"/>
      <c r="N4" s="1"/>
    </row>
    <row r="5" spans="1:14" x14ac:dyDescent="0.25">
      <c r="B5" s="1"/>
      <c r="C5" s="1"/>
      <c r="D5" s="1"/>
      <c r="E5" s="1"/>
      <c r="F5" s="1"/>
      <c r="G5" s="1"/>
      <c r="H5" s="1"/>
      <c r="I5" s="1"/>
      <c r="J5" s="1"/>
      <c r="K5" s="1"/>
      <c r="L5" s="1"/>
      <c r="M5" s="1"/>
      <c r="N5" s="1"/>
    </row>
    <row r="6" spans="1:14" s="3" customFormat="1" x14ac:dyDescent="0.25">
      <c r="A6" s="1"/>
      <c r="B6" s="1"/>
      <c r="C6" s="1"/>
      <c r="D6" s="1"/>
      <c r="E6" s="1"/>
      <c r="F6" s="1"/>
      <c r="G6" s="1"/>
      <c r="H6" s="1"/>
      <c r="I6" s="1"/>
      <c r="J6" s="1"/>
      <c r="K6" s="1"/>
      <c r="L6" s="1"/>
      <c r="M6" s="1"/>
      <c r="N6" s="1"/>
    </row>
    <row r="7" spans="1:14" s="3" customFormat="1" x14ac:dyDescent="0.25">
      <c r="A7" s="1"/>
      <c r="B7" s="1"/>
      <c r="C7" s="1"/>
      <c r="D7" s="1"/>
      <c r="E7" s="1"/>
      <c r="F7" s="1"/>
      <c r="G7" s="1"/>
      <c r="H7" s="1"/>
      <c r="I7" s="1"/>
      <c r="J7" s="1"/>
      <c r="K7" s="1"/>
      <c r="L7" s="1"/>
      <c r="M7" s="1"/>
      <c r="N7" s="1"/>
    </row>
    <row r="8" spans="1:14" s="5" customFormat="1" ht="15.75" x14ac:dyDescent="0.25">
      <c r="A8" s="9" t="s">
        <v>1</v>
      </c>
      <c r="B8" s="4"/>
      <c r="C8" s="9"/>
      <c r="D8" s="10"/>
      <c r="E8" s="339"/>
      <c r="F8" s="339"/>
      <c r="G8" s="339"/>
      <c r="H8" s="339"/>
      <c r="I8" s="339"/>
      <c r="J8" s="4"/>
      <c r="K8" s="4"/>
      <c r="L8" s="4"/>
      <c r="M8" s="4"/>
      <c r="N8" s="4"/>
    </row>
    <row r="9" spans="1:14" s="5" customFormat="1" ht="15.75" x14ac:dyDescent="0.25">
      <c r="A9" s="9" t="s">
        <v>2</v>
      </c>
      <c r="B9" s="4"/>
      <c r="C9" s="9"/>
      <c r="D9" s="10"/>
      <c r="E9" s="306"/>
      <c r="F9" s="306"/>
      <c r="G9" s="306"/>
      <c r="H9" s="306"/>
      <c r="I9" s="306"/>
      <c r="J9" s="4"/>
      <c r="K9" s="4"/>
      <c r="L9" s="4"/>
      <c r="M9" s="4"/>
      <c r="N9" s="4"/>
    </row>
    <row r="10" spans="1:14" s="5" customFormat="1" ht="15.75" x14ac:dyDescent="0.25">
      <c r="A10" s="4"/>
      <c r="B10" s="2"/>
      <c r="C10" s="2"/>
      <c r="D10" s="4"/>
      <c r="E10" s="6"/>
      <c r="F10" s="6"/>
      <c r="G10" s="6"/>
      <c r="H10" s="6"/>
      <c r="I10" s="6"/>
      <c r="J10" s="4"/>
      <c r="K10" s="4"/>
      <c r="L10" s="4"/>
      <c r="M10" s="4"/>
      <c r="N10" s="4"/>
    </row>
    <row r="11" spans="1:14" s="5" customFormat="1" ht="15.75" x14ac:dyDescent="0.25">
      <c r="A11" s="4"/>
      <c r="B11" s="2"/>
      <c r="C11" s="2"/>
      <c r="D11" s="4"/>
      <c r="E11" s="6"/>
      <c r="F11" s="6"/>
      <c r="G11" s="6"/>
      <c r="H11" s="6"/>
      <c r="I11" s="6"/>
      <c r="J11" s="4"/>
      <c r="K11" s="4"/>
      <c r="L11" s="4"/>
      <c r="M11" s="4"/>
      <c r="N11" s="4"/>
    </row>
    <row r="12" spans="1:14" x14ac:dyDescent="0.25">
      <c r="B12" s="1"/>
      <c r="C12" s="1"/>
      <c r="D12" s="1"/>
      <c r="E12" s="1"/>
      <c r="F12" s="1"/>
      <c r="G12" s="1"/>
      <c r="H12" s="1"/>
      <c r="I12" s="1"/>
      <c r="J12" s="1"/>
      <c r="K12" s="1"/>
      <c r="L12" s="1"/>
      <c r="M12" s="1"/>
      <c r="N12" s="1"/>
    </row>
    <row r="13" spans="1:14" ht="15.75" x14ac:dyDescent="0.25">
      <c r="A13" s="11" t="s">
        <v>7</v>
      </c>
      <c r="B13" s="1"/>
      <c r="C13" s="11"/>
      <c r="D13" s="1"/>
      <c r="E13" s="1"/>
      <c r="F13" s="1"/>
      <c r="G13" s="1"/>
      <c r="H13" s="1"/>
      <c r="I13" s="1"/>
      <c r="J13" s="1"/>
      <c r="K13" s="1"/>
      <c r="L13" s="1"/>
      <c r="M13" s="1"/>
      <c r="N13" s="1"/>
    </row>
    <row r="14" spans="1:14" s="3" customFormat="1" ht="15.75" x14ac:dyDescent="0.25">
      <c r="A14" s="1"/>
      <c r="B14" s="11"/>
      <c r="C14" s="11"/>
      <c r="D14" s="1"/>
      <c r="E14" s="1"/>
      <c r="F14" s="1"/>
      <c r="G14" s="1"/>
      <c r="H14" s="1"/>
      <c r="I14" s="1"/>
      <c r="J14" s="1"/>
      <c r="K14" s="1"/>
      <c r="L14" s="1"/>
      <c r="M14" s="43"/>
      <c r="N14" s="1"/>
    </row>
    <row r="15" spans="1:14" s="3" customFormat="1" ht="15.75" x14ac:dyDescent="0.25">
      <c r="A15" s="1"/>
      <c r="B15" s="25" t="s">
        <v>8</v>
      </c>
      <c r="C15" s="11"/>
      <c r="D15" s="1"/>
      <c r="E15" s="1"/>
      <c r="F15" s="1"/>
      <c r="G15" s="1"/>
      <c r="H15" s="1"/>
      <c r="I15" s="1"/>
      <c r="J15" s="1"/>
      <c r="K15" s="1"/>
      <c r="L15" s="1"/>
      <c r="M15" s="43"/>
      <c r="N15" s="1"/>
    </row>
    <row r="16" spans="1:14" s="3" customFormat="1" ht="15.75" x14ac:dyDescent="0.25">
      <c r="A16" s="1"/>
      <c r="B16" s="11"/>
      <c r="C16" s="11"/>
      <c r="D16" s="1"/>
      <c r="E16" s="1"/>
      <c r="F16" s="1"/>
      <c r="G16" s="1"/>
      <c r="H16" s="1"/>
      <c r="I16" s="1"/>
      <c r="J16" s="1"/>
      <c r="K16" s="1"/>
      <c r="L16" s="1"/>
      <c r="M16" s="43"/>
      <c r="N16" s="1"/>
    </row>
    <row r="17" spans="1:14" s="3" customFormat="1" ht="15.75" x14ac:dyDescent="0.25">
      <c r="A17" s="1"/>
      <c r="B17" s="81" t="s">
        <v>339</v>
      </c>
      <c r="C17" s="11"/>
      <c r="D17" s="1"/>
      <c r="E17" s="1"/>
      <c r="F17" s="1"/>
      <c r="G17" s="1"/>
      <c r="H17" s="1"/>
      <c r="I17" s="1"/>
      <c r="J17" s="1"/>
      <c r="K17" s="1"/>
      <c r="L17" s="1"/>
      <c r="M17" s="43"/>
      <c r="N17" s="1"/>
    </row>
    <row r="18" spans="1:14" s="3" customFormat="1" x14ac:dyDescent="0.25">
      <c r="A18" s="1"/>
      <c r="B18" s="42"/>
      <c r="C18" s="15"/>
      <c r="D18" s="42" t="s">
        <v>12</v>
      </c>
      <c r="E18" s="1"/>
      <c r="F18" s="1"/>
      <c r="G18" s="41"/>
      <c r="H18" s="42" t="s">
        <v>13</v>
      </c>
      <c r="I18" s="41"/>
      <c r="J18" s="42" t="s">
        <v>15</v>
      </c>
      <c r="K18" s="1"/>
      <c r="L18" s="1"/>
      <c r="M18" s="43"/>
      <c r="N18" s="1"/>
    </row>
    <row r="19" spans="1:14" s="3" customFormat="1" ht="7.5" customHeight="1" x14ac:dyDescent="0.25">
      <c r="A19" s="1"/>
      <c r="B19" s="12"/>
      <c r="C19" s="12"/>
      <c r="D19" s="42"/>
      <c r="E19" s="1"/>
      <c r="F19" s="1"/>
      <c r="G19" s="1"/>
      <c r="H19" s="42"/>
      <c r="I19" s="1"/>
      <c r="J19" s="42"/>
      <c r="K19" s="1"/>
      <c r="L19" s="1"/>
      <c r="M19" s="43"/>
      <c r="N19" s="1"/>
    </row>
    <row r="20" spans="1:14" x14ac:dyDescent="0.25">
      <c r="B20" s="12"/>
      <c r="C20" s="15"/>
      <c r="D20" s="42" t="s">
        <v>16</v>
      </c>
      <c r="E20" s="13"/>
      <c r="F20" s="10"/>
      <c r="G20" s="19"/>
      <c r="H20" s="42" t="s">
        <v>14</v>
      </c>
      <c r="I20" s="19"/>
      <c r="J20" s="42" t="s">
        <v>18</v>
      </c>
      <c r="K20" s="10"/>
      <c r="L20" s="10"/>
      <c r="M20" s="43"/>
      <c r="N20" s="1"/>
    </row>
    <row r="21" spans="1:14" s="3" customFormat="1" ht="6.75" customHeight="1" x14ac:dyDescent="0.25">
      <c r="A21" s="1"/>
      <c r="B21" s="12"/>
      <c r="C21" s="16"/>
      <c r="D21" s="42"/>
      <c r="E21" s="13"/>
      <c r="F21" s="10"/>
      <c r="G21" s="18"/>
      <c r="H21" s="42"/>
      <c r="I21" s="18"/>
      <c r="J21" s="42"/>
      <c r="K21" s="10"/>
      <c r="L21" s="10"/>
      <c r="M21" s="43"/>
      <c r="N21" s="1"/>
    </row>
    <row r="22" spans="1:14" s="3" customFormat="1" x14ac:dyDescent="0.25">
      <c r="A22" s="1"/>
      <c r="B22" s="12"/>
      <c r="C22" s="15"/>
      <c r="D22" s="42" t="s">
        <v>11</v>
      </c>
      <c r="E22" s="13"/>
      <c r="F22" s="10"/>
      <c r="G22" s="19"/>
      <c r="H22" s="42" t="s">
        <v>17</v>
      </c>
      <c r="I22" s="19"/>
      <c r="J22" s="42" t="s">
        <v>19</v>
      </c>
      <c r="K22" s="10"/>
      <c r="L22" s="10"/>
      <c r="M22" s="43"/>
      <c r="N22" s="1"/>
    </row>
    <row r="23" spans="1:14" s="3" customFormat="1" ht="6.75" customHeight="1" x14ac:dyDescent="0.25">
      <c r="A23" s="1"/>
      <c r="B23" s="12"/>
      <c r="C23" s="16"/>
      <c r="D23" s="13"/>
      <c r="E23" s="13"/>
      <c r="F23" s="10"/>
      <c r="G23" s="10"/>
      <c r="H23" s="10"/>
      <c r="I23" s="10"/>
      <c r="J23" s="42"/>
      <c r="K23" s="10"/>
      <c r="L23" s="10"/>
      <c r="M23" s="43"/>
      <c r="N23" s="1"/>
    </row>
    <row r="24" spans="1:14" s="3" customFormat="1" x14ac:dyDescent="0.25">
      <c r="A24" s="1"/>
      <c r="B24" s="12"/>
      <c r="C24" s="16"/>
      <c r="D24" s="13"/>
      <c r="E24" s="13"/>
      <c r="F24" s="10"/>
      <c r="G24" s="10"/>
      <c r="H24" s="10"/>
      <c r="I24" s="19"/>
      <c r="J24" s="42" t="s">
        <v>20</v>
      </c>
      <c r="K24" s="10"/>
      <c r="L24" s="10"/>
      <c r="M24" s="43"/>
      <c r="N24" s="1"/>
    </row>
    <row r="25" spans="1:14" s="3" customFormat="1" x14ac:dyDescent="0.25">
      <c r="A25" s="1"/>
      <c r="B25" s="12"/>
      <c r="C25" s="16"/>
      <c r="D25" s="13"/>
      <c r="E25" s="13"/>
      <c r="F25" s="10"/>
      <c r="G25" s="10"/>
      <c r="H25" s="10"/>
      <c r="I25" s="18"/>
      <c r="J25" s="42"/>
      <c r="K25" s="10"/>
      <c r="L25" s="10"/>
      <c r="M25" s="43"/>
      <c r="N25" s="1"/>
    </row>
    <row r="26" spans="1:14" s="3" customFormat="1" x14ac:dyDescent="0.25">
      <c r="A26" s="1"/>
      <c r="B26" s="42" t="s">
        <v>32</v>
      </c>
      <c r="C26" s="16"/>
      <c r="D26" s="13"/>
      <c r="E26" s="13"/>
      <c r="F26" s="10"/>
      <c r="G26" s="10"/>
      <c r="H26" s="10"/>
      <c r="I26" s="10"/>
      <c r="J26" s="10"/>
      <c r="K26" s="10"/>
      <c r="L26" s="10"/>
      <c r="M26" s="43"/>
      <c r="N26" s="1"/>
    </row>
    <row r="27" spans="1:14" s="3" customFormat="1" ht="8.25" customHeight="1" x14ac:dyDescent="0.25">
      <c r="A27" s="1"/>
      <c r="B27" s="13"/>
      <c r="C27" s="13"/>
      <c r="D27" s="1"/>
      <c r="E27" s="10"/>
      <c r="F27" s="10"/>
      <c r="G27" s="10"/>
      <c r="H27" s="10"/>
      <c r="I27" s="10"/>
      <c r="J27" s="10"/>
      <c r="K27" s="10"/>
      <c r="L27" s="10"/>
      <c r="M27" s="43"/>
      <c r="N27" s="1"/>
    </row>
    <row r="28" spans="1:14" s="3" customFormat="1" ht="15.75" customHeight="1" x14ac:dyDescent="0.25">
      <c r="A28" s="1"/>
      <c r="B28" s="45" t="s">
        <v>23</v>
      </c>
      <c r="C28" s="14"/>
      <c r="D28" s="42" t="s">
        <v>24</v>
      </c>
      <c r="E28" s="10"/>
      <c r="F28" s="10"/>
      <c r="G28" s="18"/>
      <c r="H28" s="10"/>
      <c r="I28" s="19"/>
      <c r="J28" s="42" t="s">
        <v>25</v>
      </c>
      <c r="K28" s="10"/>
      <c r="L28" s="10"/>
      <c r="M28" s="43"/>
      <c r="N28" s="1"/>
    </row>
    <row r="29" spans="1:14" s="3" customFormat="1" ht="3.75" customHeight="1" x14ac:dyDescent="0.25">
      <c r="A29" s="1"/>
      <c r="B29" s="13"/>
      <c r="C29" s="13"/>
      <c r="D29" s="10"/>
      <c r="E29" s="10"/>
      <c r="F29" s="10"/>
      <c r="G29" s="18"/>
      <c r="H29" s="10"/>
      <c r="I29" s="10"/>
      <c r="J29" s="10"/>
      <c r="K29" s="10"/>
      <c r="L29" s="10"/>
      <c r="M29" s="10"/>
      <c r="N29" s="1"/>
    </row>
    <row r="30" spans="1:14" s="3" customFormat="1" x14ac:dyDescent="0.25">
      <c r="A30" s="1"/>
      <c r="B30" s="1"/>
      <c r="C30" s="14"/>
      <c r="D30" s="42" t="s">
        <v>26</v>
      </c>
      <c r="E30" s="10"/>
      <c r="F30" s="10"/>
      <c r="G30" s="18"/>
      <c r="H30" s="10"/>
      <c r="I30" s="19"/>
      <c r="J30" s="42" t="s">
        <v>27</v>
      </c>
      <c r="K30" s="10"/>
      <c r="L30" s="10"/>
      <c r="M30" s="10"/>
      <c r="N30" s="1"/>
    </row>
    <row r="31" spans="1:14" s="3" customFormat="1" ht="4.5" customHeight="1" x14ac:dyDescent="0.25">
      <c r="A31" s="1"/>
      <c r="B31" s="13"/>
      <c r="C31" s="13"/>
      <c r="D31" s="10"/>
      <c r="E31" s="10"/>
      <c r="F31" s="10"/>
      <c r="G31" s="18"/>
      <c r="H31" s="10"/>
      <c r="I31" s="10"/>
      <c r="J31" s="10"/>
      <c r="K31" s="10"/>
      <c r="L31" s="10"/>
      <c r="M31" s="10"/>
      <c r="N31" s="1"/>
    </row>
    <row r="32" spans="1:14" s="3" customFormat="1" x14ac:dyDescent="0.25">
      <c r="A32" s="1"/>
      <c r="B32" s="1"/>
      <c r="C32" s="14"/>
      <c r="D32" s="42" t="s">
        <v>28</v>
      </c>
      <c r="E32" s="10"/>
      <c r="F32" s="10"/>
      <c r="G32" s="18"/>
      <c r="H32" s="10"/>
      <c r="I32" s="18"/>
      <c r="J32" s="42"/>
      <c r="K32" s="10"/>
      <c r="L32" s="10"/>
      <c r="M32" s="10"/>
      <c r="N32" s="1"/>
    </row>
    <row r="33" spans="1:14" s="3" customFormat="1" ht="3.75" customHeight="1" x14ac:dyDescent="0.25">
      <c r="A33" s="1"/>
      <c r="B33" s="1"/>
      <c r="C33" s="23"/>
      <c r="D33" s="10"/>
      <c r="E33" s="10"/>
      <c r="F33" s="10"/>
      <c r="G33" s="18"/>
      <c r="H33" s="10"/>
      <c r="I33" s="18"/>
      <c r="J33" s="10"/>
      <c r="K33" s="10"/>
      <c r="L33" s="10"/>
      <c r="M33" s="10"/>
      <c r="N33" s="1"/>
    </row>
    <row r="34" spans="1:14" s="3" customFormat="1" ht="15.75" customHeight="1" x14ac:dyDescent="0.25">
      <c r="A34" s="1"/>
      <c r="B34" s="1"/>
      <c r="C34" s="14"/>
      <c r="D34" s="42" t="s">
        <v>29</v>
      </c>
      <c r="E34" s="10"/>
      <c r="F34" s="10"/>
      <c r="G34" s="18"/>
      <c r="H34" s="10"/>
      <c r="I34" s="18"/>
      <c r="J34" s="10"/>
      <c r="K34" s="10"/>
      <c r="L34" s="10"/>
      <c r="M34" s="43"/>
      <c r="N34" s="1"/>
    </row>
    <row r="35" spans="1:14" s="3" customFormat="1" ht="3.75" customHeight="1" x14ac:dyDescent="0.25">
      <c r="A35" s="1"/>
      <c r="B35" s="13"/>
      <c r="C35" s="13"/>
      <c r="D35" s="13"/>
      <c r="E35" s="10"/>
      <c r="F35" s="10"/>
      <c r="G35" s="18"/>
      <c r="H35" s="10"/>
      <c r="I35" s="18"/>
      <c r="J35" s="10"/>
      <c r="K35" s="10"/>
      <c r="L35" s="10"/>
      <c r="M35" s="10"/>
      <c r="N35" s="1"/>
    </row>
    <row r="36" spans="1:14" s="3" customFormat="1" x14ac:dyDescent="0.25">
      <c r="A36" s="1"/>
      <c r="B36" s="1"/>
      <c r="C36" s="14"/>
      <c r="D36" s="42" t="s">
        <v>30</v>
      </c>
      <c r="E36" s="10"/>
      <c r="F36" s="10"/>
      <c r="G36" s="18"/>
      <c r="H36" s="10"/>
      <c r="I36" s="18"/>
      <c r="J36" s="10"/>
      <c r="K36" s="10"/>
      <c r="L36" s="10"/>
      <c r="M36" s="10"/>
      <c r="N36" s="1"/>
    </row>
    <row r="37" spans="1:14" s="3" customFormat="1" ht="4.5" customHeight="1" x14ac:dyDescent="0.25">
      <c r="A37" s="1"/>
      <c r="B37" s="13"/>
      <c r="C37" s="13"/>
      <c r="D37" s="13"/>
      <c r="E37" s="10"/>
      <c r="F37" s="10"/>
      <c r="G37" s="18"/>
      <c r="H37" s="10"/>
      <c r="I37" s="18"/>
      <c r="J37" s="10"/>
      <c r="K37" s="10"/>
      <c r="L37" s="10"/>
      <c r="M37" s="10"/>
      <c r="N37" s="1"/>
    </row>
    <row r="38" spans="1:14" s="3" customFormat="1" x14ac:dyDescent="0.25">
      <c r="A38" s="1"/>
      <c r="B38" s="1"/>
      <c r="C38" s="14"/>
      <c r="D38" s="42" t="s">
        <v>31</v>
      </c>
      <c r="E38" s="10"/>
      <c r="F38" s="10"/>
      <c r="G38" s="18"/>
      <c r="H38" s="10"/>
      <c r="I38" s="18"/>
      <c r="J38" s="42"/>
      <c r="K38" s="10"/>
      <c r="L38" s="10"/>
      <c r="M38" s="10"/>
      <c r="N38" s="1"/>
    </row>
    <row r="39" spans="1:14" s="3" customFormat="1" ht="8.25" customHeight="1" x14ac:dyDescent="0.25">
      <c r="A39" s="1"/>
      <c r="B39" s="1"/>
      <c r="C39" s="23"/>
      <c r="D39" s="13"/>
      <c r="E39" s="10"/>
      <c r="F39" s="10"/>
      <c r="G39" s="10"/>
      <c r="H39" s="10"/>
      <c r="I39" s="10"/>
      <c r="J39" s="10"/>
      <c r="K39" s="10"/>
      <c r="L39" s="10"/>
      <c r="M39" s="10"/>
      <c r="N39" s="1"/>
    </row>
    <row r="40" spans="1:14" s="3" customFormat="1" x14ac:dyDescent="0.25">
      <c r="A40" s="1"/>
      <c r="B40" s="45" t="s">
        <v>21</v>
      </c>
      <c r="C40" s="14"/>
      <c r="D40" s="42" t="s">
        <v>22</v>
      </c>
      <c r="E40" s="10"/>
      <c r="F40" s="10"/>
      <c r="G40" s="10"/>
      <c r="H40" s="10"/>
      <c r="I40" s="10"/>
      <c r="J40" s="10"/>
      <c r="K40" s="10"/>
      <c r="L40" s="10"/>
      <c r="M40" s="10"/>
      <c r="N40" s="1"/>
    </row>
    <row r="41" spans="1:14" s="3" customFormat="1" x14ac:dyDescent="0.25">
      <c r="A41" s="1"/>
      <c r="B41" s="1"/>
      <c r="C41" s="23"/>
      <c r="D41" s="13"/>
      <c r="E41" s="10"/>
      <c r="F41" s="10"/>
      <c r="G41" s="10"/>
      <c r="H41" s="10"/>
      <c r="I41" s="10"/>
      <c r="J41" s="10"/>
      <c r="K41" s="10"/>
      <c r="L41" s="10"/>
      <c r="M41" s="10"/>
      <c r="N41" s="1"/>
    </row>
    <row r="42" spans="1:14" s="3" customFormat="1" x14ac:dyDescent="0.25">
      <c r="A42" s="1"/>
      <c r="B42" s="1"/>
      <c r="C42" s="23"/>
      <c r="D42" s="13"/>
      <c r="E42" s="10"/>
      <c r="F42" s="10"/>
      <c r="G42" s="10"/>
      <c r="H42" s="10"/>
      <c r="I42" s="10"/>
      <c r="J42" s="10"/>
      <c r="K42" s="10"/>
      <c r="L42" s="10"/>
      <c r="M42" s="10"/>
      <c r="N42" s="1"/>
    </row>
    <row r="43" spans="1:14" s="3" customFormat="1" x14ac:dyDescent="0.25">
      <c r="A43" s="1"/>
      <c r="B43" s="42" t="s">
        <v>38</v>
      </c>
      <c r="C43" s="23"/>
      <c r="D43" s="13"/>
      <c r="E43" s="10"/>
      <c r="F43" s="10"/>
      <c r="G43" s="10"/>
      <c r="H43" s="10"/>
      <c r="I43" s="10"/>
      <c r="J43" s="10"/>
      <c r="K43" s="10"/>
      <c r="L43" s="10"/>
      <c r="M43" s="10"/>
      <c r="N43" s="1"/>
    </row>
    <row r="44" spans="1:14" s="3" customFormat="1" x14ac:dyDescent="0.25">
      <c r="A44" s="1"/>
      <c r="B44" s="42"/>
      <c r="C44" s="23"/>
      <c r="D44" s="13"/>
      <c r="E44" s="10"/>
      <c r="F44" s="10"/>
      <c r="G44" s="10"/>
      <c r="H44" s="10"/>
      <c r="I44" s="10"/>
      <c r="J44" s="10"/>
      <c r="K44" s="10"/>
      <c r="L44" s="10"/>
      <c r="M44" s="10"/>
      <c r="N44" s="1"/>
    </row>
    <row r="45" spans="1:14" s="3" customFormat="1" ht="20.25" customHeight="1" x14ac:dyDescent="0.25">
      <c r="A45" s="47" t="s">
        <v>4</v>
      </c>
      <c r="B45" s="301" t="s">
        <v>36</v>
      </c>
      <c r="C45" s="320"/>
      <c r="D45" s="301" t="s">
        <v>34</v>
      </c>
      <c r="E45" s="320"/>
      <c r="F45" s="301" t="s">
        <v>37</v>
      </c>
      <c r="G45" s="302"/>
      <c r="H45" s="320"/>
      <c r="I45" s="301" t="s">
        <v>35</v>
      </c>
      <c r="J45" s="302"/>
      <c r="K45" s="302"/>
      <c r="L45" s="302"/>
      <c r="M45" s="320"/>
      <c r="N45" s="1"/>
    </row>
    <row r="46" spans="1:14" s="3" customFormat="1" x14ac:dyDescent="0.25">
      <c r="A46" s="46">
        <v>1</v>
      </c>
      <c r="B46" s="331"/>
      <c r="C46" s="332"/>
      <c r="D46" s="333"/>
      <c r="E46" s="334"/>
      <c r="F46" s="325"/>
      <c r="G46" s="326"/>
      <c r="H46" s="327"/>
      <c r="I46" s="328"/>
      <c r="J46" s="329"/>
      <c r="K46" s="329"/>
      <c r="L46" s="329"/>
      <c r="M46" s="330"/>
      <c r="N46" s="1"/>
    </row>
    <row r="47" spans="1:14" s="3" customFormat="1" x14ac:dyDescent="0.25">
      <c r="A47" s="46">
        <v>2</v>
      </c>
      <c r="B47" s="331"/>
      <c r="C47" s="332"/>
      <c r="D47" s="333"/>
      <c r="E47" s="334"/>
      <c r="F47" s="325"/>
      <c r="G47" s="326"/>
      <c r="H47" s="327"/>
      <c r="I47" s="328"/>
      <c r="J47" s="329"/>
      <c r="K47" s="329"/>
      <c r="L47" s="329"/>
      <c r="M47" s="330"/>
      <c r="N47" s="1"/>
    </row>
    <row r="48" spans="1:14" s="3" customFormat="1" x14ac:dyDescent="0.25">
      <c r="A48" s="46">
        <v>3</v>
      </c>
      <c r="B48" s="331"/>
      <c r="C48" s="332"/>
      <c r="D48" s="333"/>
      <c r="E48" s="334"/>
      <c r="F48" s="325"/>
      <c r="G48" s="326"/>
      <c r="H48" s="327"/>
      <c r="I48" s="328"/>
      <c r="J48" s="329"/>
      <c r="K48" s="329"/>
      <c r="L48" s="329"/>
      <c r="M48" s="330"/>
      <c r="N48" s="1"/>
    </row>
    <row r="49" spans="1:14" s="3" customFormat="1" x14ac:dyDescent="0.25">
      <c r="A49" s="46">
        <v>4</v>
      </c>
      <c r="B49" s="331"/>
      <c r="C49" s="332"/>
      <c r="D49" s="333"/>
      <c r="E49" s="334"/>
      <c r="F49" s="325"/>
      <c r="G49" s="326"/>
      <c r="H49" s="327"/>
      <c r="I49" s="328"/>
      <c r="J49" s="329"/>
      <c r="K49" s="329"/>
      <c r="L49" s="329"/>
      <c r="M49" s="330"/>
      <c r="N49" s="1"/>
    </row>
    <row r="50" spans="1:14" s="3" customFormat="1" x14ac:dyDescent="0.25">
      <c r="A50" s="46">
        <v>5</v>
      </c>
      <c r="B50" s="331"/>
      <c r="C50" s="332"/>
      <c r="D50" s="333"/>
      <c r="E50" s="334"/>
      <c r="F50" s="325"/>
      <c r="G50" s="326"/>
      <c r="H50" s="327"/>
      <c r="I50" s="328"/>
      <c r="J50" s="329"/>
      <c r="K50" s="329"/>
      <c r="L50" s="329"/>
      <c r="M50" s="330"/>
      <c r="N50" s="1"/>
    </row>
    <row r="51" spans="1:14" s="3" customFormat="1" x14ac:dyDescent="0.25">
      <c r="A51" s="46">
        <v>6</v>
      </c>
      <c r="B51" s="331"/>
      <c r="C51" s="332"/>
      <c r="D51" s="333"/>
      <c r="E51" s="334"/>
      <c r="F51" s="325"/>
      <c r="G51" s="326"/>
      <c r="H51" s="327"/>
      <c r="I51" s="328"/>
      <c r="J51" s="329"/>
      <c r="K51" s="329"/>
      <c r="L51" s="329"/>
      <c r="M51" s="330"/>
      <c r="N51" s="1"/>
    </row>
    <row r="52" spans="1:14" s="3" customFormat="1" x14ac:dyDescent="0.25">
      <c r="A52" s="46">
        <v>7</v>
      </c>
      <c r="B52" s="331"/>
      <c r="C52" s="332"/>
      <c r="D52" s="333"/>
      <c r="E52" s="334"/>
      <c r="F52" s="325"/>
      <c r="G52" s="326"/>
      <c r="H52" s="327"/>
      <c r="I52" s="328"/>
      <c r="J52" s="329"/>
      <c r="K52" s="329"/>
      <c r="L52" s="329"/>
      <c r="M52" s="330"/>
      <c r="N52" s="1"/>
    </row>
    <row r="53" spans="1:14" s="3" customFormat="1" x14ac:dyDescent="0.25">
      <c r="A53" s="46">
        <v>8</v>
      </c>
      <c r="B53" s="331"/>
      <c r="C53" s="332"/>
      <c r="D53" s="333"/>
      <c r="E53" s="334"/>
      <c r="F53" s="325"/>
      <c r="G53" s="326"/>
      <c r="H53" s="327"/>
      <c r="I53" s="328"/>
      <c r="J53" s="329"/>
      <c r="K53" s="329"/>
      <c r="L53" s="329"/>
      <c r="M53" s="330"/>
      <c r="N53" s="1"/>
    </row>
    <row r="54" spans="1:14" s="3" customFormat="1" x14ac:dyDescent="0.25">
      <c r="A54" s="46">
        <v>9</v>
      </c>
      <c r="B54" s="331"/>
      <c r="C54" s="332"/>
      <c r="D54" s="333"/>
      <c r="E54" s="334"/>
      <c r="F54" s="325"/>
      <c r="G54" s="326"/>
      <c r="H54" s="327"/>
      <c r="I54" s="328"/>
      <c r="J54" s="329"/>
      <c r="K54" s="329"/>
      <c r="L54" s="329"/>
      <c r="M54" s="330"/>
      <c r="N54" s="1"/>
    </row>
    <row r="55" spans="1:14" s="3" customFormat="1" x14ac:dyDescent="0.25">
      <c r="A55" s="46">
        <v>10</v>
      </c>
      <c r="B55" s="331"/>
      <c r="C55" s="332"/>
      <c r="D55" s="333"/>
      <c r="E55" s="334"/>
      <c r="F55" s="325"/>
      <c r="G55" s="326"/>
      <c r="H55" s="327"/>
      <c r="I55" s="328"/>
      <c r="J55" s="329"/>
      <c r="K55" s="329"/>
      <c r="L55" s="329"/>
      <c r="M55" s="330"/>
      <c r="N55" s="1"/>
    </row>
    <row r="56" spans="1:14" s="3" customFormat="1" x14ac:dyDescent="0.25">
      <c r="A56" s="48"/>
      <c r="B56" s="49"/>
      <c r="C56" s="49"/>
      <c r="D56" s="50"/>
      <c r="E56" s="50"/>
      <c r="F56" s="51"/>
      <c r="G56" s="51"/>
      <c r="H56" s="51"/>
      <c r="I56" s="52"/>
      <c r="J56" s="52"/>
      <c r="K56" s="52"/>
      <c r="L56" s="52"/>
      <c r="M56" s="52"/>
      <c r="N56" s="1"/>
    </row>
    <row r="57" spans="1:14" s="3" customFormat="1" x14ac:dyDescent="0.25">
      <c r="A57" s="1"/>
      <c r="B57" s="1"/>
      <c r="C57" s="23"/>
      <c r="D57" s="13"/>
      <c r="E57" s="10"/>
      <c r="F57" s="10"/>
      <c r="G57" s="10"/>
      <c r="H57" s="10"/>
      <c r="I57" s="10"/>
      <c r="J57" s="10"/>
      <c r="K57" s="10"/>
      <c r="L57" s="10"/>
      <c r="M57" s="10"/>
      <c r="N57" s="1"/>
    </row>
    <row r="58" spans="1:14" s="3" customFormat="1" x14ac:dyDescent="0.25">
      <c r="A58" s="1"/>
      <c r="B58" s="25" t="s">
        <v>81</v>
      </c>
      <c r="C58" s="23"/>
      <c r="D58" s="13"/>
      <c r="E58" s="10"/>
      <c r="F58" s="10"/>
      <c r="G58" s="10"/>
      <c r="H58" s="10"/>
      <c r="I58" s="10"/>
      <c r="J58" s="10"/>
      <c r="K58" s="10"/>
      <c r="L58" s="10"/>
      <c r="M58" s="10"/>
      <c r="N58" s="1"/>
    </row>
    <row r="59" spans="1:14" s="3" customFormat="1" x14ac:dyDescent="0.25">
      <c r="A59" s="1"/>
      <c r="B59" s="25"/>
      <c r="C59" s="23"/>
      <c r="D59" s="13"/>
      <c r="E59" s="10"/>
      <c r="F59" s="10"/>
      <c r="G59" s="10"/>
      <c r="H59" s="10"/>
      <c r="I59" s="10"/>
      <c r="J59" s="10"/>
      <c r="K59" s="10"/>
      <c r="L59" s="10"/>
      <c r="M59" s="10"/>
      <c r="N59" s="1"/>
    </row>
    <row r="60" spans="1:14" s="3" customFormat="1" ht="27.75" customHeight="1" x14ac:dyDescent="0.25">
      <c r="A60" s="47" t="s">
        <v>4</v>
      </c>
      <c r="B60" s="301" t="s">
        <v>36</v>
      </c>
      <c r="C60" s="320"/>
      <c r="D60" s="47" t="s">
        <v>39</v>
      </c>
      <c r="E60" s="53" t="s">
        <v>40</v>
      </c>
      <c r="F60" s="310" t="s">
        <v>41</v>
      </c>
      <c r="G60" s="311"/>
      <c r="H60" s="310" t="s">
        <v>42</v>
      </c>
      <c r="I60" s="323"/>
      <c r="J60" s="311"/>
      <c r="K60" s="299" t="s">
        <v>336</v>
      </c>
      <c r="L60" s="300"/>
      <c r="M60" s="308"/>
      <c r="N60" s="1"/>
    </row>
    <row r="61" spans="1:14" s="3" customFormat="1" x14ac:dyDescent="0.25">
      <c r="A61" s="46">
        <v>1</v>
      </c>
      <c r="B61" s="295">
        <f>B46</f>
        <v>0</v>
      </c>
      <c r="C61" s="312"/>
      <c r="D61" s="14"/>
      <c r="E61" s="19"/>
      <c r="F61" s="305"/>
      <c r="G61" s="307"/>
      <c r="H61" s="305"/>
      <c r="I61" s="306"/>
      <c r="J61" s="307"/>
      <c r="K61" s="321"/>
      <c r="L61" s="321"/>
      <c r="M61" s="321"/>
      <c r="N61" s="1"/>
    </row>
    <row r="62" spans="1:14" s="3" customFormat="1" x14ac:dyDescent="0.25">
      <c r="A62" s="46">
        <v>2</v>
      </c>
      <c r="B62" s="295">
        <f t="shared" ref="B62:B70" si="0">B47</f>
        <v>0</v>
      </c>
      <c r="C62" s="312"/>
      <c r="D62" s="14"/>
      <c r="E62" s="19"/>
      <c r="F62" s="305"/>
      <c r="G62" s="307"/>
      <c r="H62" s="324"/>
      <c r="I62" s="324"/>
      <c r="J62" s="324"/>
      <c r="K62" s="321"/>
      <c r="L62" s="321"/>
      <c r="M62" s="321"/>
      <c r="N62" s="1"/>
    </row>
    <row r="63" spans="1:14" s="3" customFormat="1" x14ac:dyDescent="0.25">
      <c r="A63" s="46">
        <v>3</v>
      </c>
      <c r="B63" s="295">
        <f t="shared" si="0"/>
        <v>0</v>
      </c>
      <c r="C63" s="312"/>
      <c r="D63" s="14"/>
      <c r="E63" s="19"/>
      <c r="F63" s="305"/>
      <c r="G63" s="307"/>
      <c r="H63" s="324"/>
      <c r="I63" s="324"/>
      <c r="J63" s="324"/>
      <c r="K63" s="321"/>
      <c r="L63" s="321"/>
      <c r="M63" s="321"/>
      <c r="N63" s="1"/>
    </row>
    <row r="64" spans="1:14" s="3" customFormat="1" x14ac:dyDescent="0.25">
      <c r="A64" s="46">
        <v>4</v>
      </c>
      <c r="B64" s="295">
        <f t="shared" si="0"/>
        <v>0</v>
      </c>
      <c r="C64" s="312"/>
      <c r="D64" s="14"/>
      <c r="E64" s="19"/>
      <c r="F64" s="305"/>
      <c r="G64" s="307"/>
      <c r="H64" s="324"/>
      <c r="I64" s="324"/>
      <c r="J64" s="324"/>
      <c r="K64" s="321"/>
      <c r="L64" s="321"/>
      <c r="M64" s="321"/>
      <c r="N64" s="1"/>
    </row>
    <row r="65" spans="1:14" s="3" customFormat="1" x14ac:dyDescent="0.25">
      <c r="A65" s="46">
        <v>5</v>
      </c>
      <c r="B65" s="295">
        <f t="shared" si="0"/>
        <v>0</v>
      </c>
      <c r="C65" s="312"/>
      <c r="D65" s="14"/>
      <c r="E65" s="19"/>
      <c r="F65" s="305"/>
      <c r="G65" s="307"/>
      <c r="H65" s="324"/>
      <c r="I65" s="324"/>
      <c r="J65" s="324"/>
      <c r="K65" s="321"/>
      <c r="L65" s="321"/>
      <c r="M65" s="321"/>
      <c r="N65" s="1"/>
    </row>
    <row r="66" spans="1:14" s="3" customFormat="1" x14ac:dyDescent="0.25">
      <c r="A66" s="46">
        <v>6</v>
      </c>
      <c r="B66" s="295">
        <f t="shared" si="0"/>
        <v>0</v>
      </c>
      <c r="C66" s="312"/>
      <c r="D66" s="14"/>
      <c r="E66" s="19"/>
      <c r="F66" s="305"/>
      <c r="G66" s="307"/>
      <c r="H66" s="324"/>
      <c r="I66" s="324"/>
      <c r="J66" s="324"/>
      <c r="K66" s="321"/>
      <c r="L66" s="321"/>
      <c r="M66" s="321"/>
      <c r="N66" s="1"/>
    </row>
    <row r="67" spans="1:14" s="3" customFormat="1" x14ac:dyDescent="0.25">
      <c r="A67" s="46">
        <v>7</v>
      </c>
      <c r="B67" s="295">
        <f t="shared" si="0"/>
        <v>0</v>
      </c>
      <c r="C67" s="312"/>
      <c r="D67" s="14"/>
      <c r="E67" s="19"/>
      <c r="F67" s="305"/>
      <c r="G67" s="307"/>
      <c r="H67" s="324"/>
      <c r="I67" s="324"/>
      <c r="J67" s="324"/>
      <c r="K67" s="321"/>
      <c r="L67" s="321"/>
      <c r="M67" s="321"/>
      <c r="N67" s="1"/>
    </row>
    <row r="68" spans="1:14" s="3" customFormat="1" x14ac:dyDescent="0.25">
      <c r="A68" s="46">
        <v>8</v>
      </c>
      <c r="B68" s="295">
        <f t="shared" si="0"/>
        <v>0</v>
      </c>
      <c r="C68" s="312"/>
      <c r="D68" s="14"/>
      <c r="E68" s="19"/>
      <c r="F68" s="305"/>
      <c r="G68" s="307"/>
      <c r="H68" s="324"/>
      <c r="I68" s="324"/>
      <c r="J68" s="324"/>
      <c r="K68" s="321"/>
      <c r="L68" s="321"/>
      <c r="M68" s="321"/>
      <c r="N68" s="1"/>
    </row>
    <row r="69" spans="1:14" s="3" customFormat="1" x14ac:dyDescent="0.25">
      <c r="A69" s="46">
        <v>9</v>
      </c>
      <c r="B69" s="295">
        <f t="shared" si="0"/>
        <v>0</v>
      </c>
      <c r="C69" s="312"/>
      <c r="D69" s="14"/>
      <c r="E69" s="19"/>
      <c r="F69" s="305"/>
      <c r="G69" s="307"/>
      <c r="H69" s="324"/>
      <c r="I69" s="324"/>
      <c r="J69" s="324"/>
      <c r="K69" s="321"/>
      <c r="L69" s="321"/>
      <c r="M69" s="321"/>
      <c r="N69" s="1"/>
    </row>
    <row r="70" spans="1:14" s="3" customFormat="1" x14ac:dyDescent="0.25">
      <c r="A70" s="46">
        <v>10</v>
      </c>
      <c r="B70" s="295">
        <f t="shared" si="0"/>
        <v>0</v>
      </c>
      <c r="C70" s="312"/>
      <c r="D70" s="14"/>
      <c r="E70" s="19"/>
      <c r="F70" s="305"/>
      <c r="G70" s="307"/>
      <c r="H70" s="324"/>
      <c r="I70" s="324"/>
      <c r="J70" s="324"/>
      <c r="K70" s="321"/>
      <c r="L70" s="321"/>
      <c r="M70" s="321"/>
      <c r="N70" s="1"/>
    </row>
    <row r="71" spans="1:14" s="3" customFormat="1" x14ac:dyDescent="0.25">
      <c r="A71" s="1"/>
      <c r="B71" s="25"/>
      <c r="C71" s="23"/>
      <c r="D71" s="13"/>
      <c r="E71" s="10"/>
      <c r="F71" s="10"/>
      <c r="G71" s="10"/>
      <c r="H71" s="10"/>
      <c r="I71" s="10"/>
      <c r="J71" s="10"/>
      <c r="K71" s="10"/>
      <c r="L71" s="10"/>
      <c r="M71" s="10"/>
      <c r="N71" s="1"/>
    </row>
    <row r="72" spans="1:14" s="3" customFormat="1" x14ac:dyDescent="0.25">
      <c r="A72" s="1"/>
      <c r="B72" s="12"/>
      <c r="C72" s="12"/>
      <c r="D72" s="10"/>
      <c r="E72" s="10"/>
      <c r="F72" s="10"/>
      <c r="G72" s="10"/>
      <c r="H72" s="10"/>
      <c r="I72" s="10"/>
      <c r="J72" s="10"/>
      <c r="K72" s="10"/>
      <c r="L72" s="10"/>
      <c r="M72" s="10"/>
      <c r="N72" s="1"/>
    </row>
    <row r="73" spans="1:14" s="3" customFormat="1" ht="21" customHeight="1" x14ac:dyDescent="0.25">
      <c r="A73" s="12" t="s">
        <v>9</v>
      </c>
      <c r="B73" s="1"/>
      <c r="C73" s="12"/>
      <c r="D73" s="10"/>
      <c r="E73" s="10"/>
      <c r="F73" s="10"/>
      <c r="G73" s="10"/>
      <c r="H73" s="10"/>
      <c r="I73" s="10"/>
      <c r="J73" s="10"/>
      <c r="K73" s="10"/>
      <c r="L73" s="10"/>
      <c r="M73" s="10"/>
      <c r="N73" s="1"/>
    </row>
    <row r="74" spans="1:14" s="3" customFormat="1" x14ac:dyDescent="0.25">
      <c r="A74" s="1"/>
      <c r="B74" s="12"/>
      <c r="C74" s="12"/>
      <c r="D74" s="10"/>
      <c r="E74" s="10"/>
      <c r="F74" s="10"/>
      <c r="G74" s="10"/>
      <c r="H74" s="10"/>
      <c r="I74" s="10"/>
      <c r="J74" s="10"/>
      <c r="K74" s="10"/>
      <c r="L74" s="10"/>
      <c r="M74" s="10"/>
      <c r="N74" s="1"/>
    </row>
    <row r="75" spans="1:14" s="3" customFormat="1" x14ac:dyDescent="0.25">
      <c r="A75" s="1"/>
      <c r="B75" s="12"/>
      <c r="C75" s="16"/>
      <c r="D75" s="13"/>
      <c r="E75" s="10"/>
      <c r="F75" s="10"/>
      <c r="G75" s="10"/>
      <c r="H75" s="10"/>
      <c r="I75" s="10"/>
      <c r="J75" s="10"/>
      <c r="K75" s="10"/>
      <c r="L75" s="10"/>
      <c r="M75" s="10"/>
      <c r="N75" s="1"/>
    </row>
    <row r="76" spans="1:14" s="3" customFormat="1" x14ac:dyDescent="0.25">
      <c r="A76" s="1"/>
      <c r="B76" s="42" t="s">
        <v>43</v>
      </c>
      <c r="C76" s="16"/>
      <c r="D76" s="13"/>
      <c r="E76" s="10"/>
      <c r="F76" s="10"/>
      <c r="G76" s="10"/>
      <c r="H76" s="10"/>
      <c r="I76" s="10"/>
      <c r="J76" s="10"/>
      <c r="K76" s="10"/>
      <c r="L76" s="10"/>
      <c r="M76" s="10"/>
      <c r="N76" s="1"/>
    </row>
    <row r="77" spans="1:14" s="3" customFormat="1" ht="9" customHeight="1" x14ac:dyDescent="0.25">
      <c r="A77" s="1"/>
      <c r="B77" s="17"/>
      <c r="C77" s="16"/>
      <c r="D77" s="13"/>
      <c r="E77" s="10"/>
      <c r="F77" s="10"/>
      <c r="G77" s="10"/>
      <c r="H77" s="10"/>
      <c r="I77" s="10"/>
      <c r="J77" s="10"/>
      <c r="K77" s="10"/>
      <c r="L77" s="10"/>
      <c r="M77" s="10"/>
      <c r="N77" s="1"/>
    </row>
    <row r="78" spans="1:14" s="3" customFormat="1" ht="42.75" customHeight="1" x14ac:dyDescent="0.25">
      <c r="A78" s="34" t="s">
        <v>4</v>
      </c>
      <c r="B78" s="34" t="s">
        <v>33</v>
      </c>
      <c r="C78" s="322" t="s">
        <v>44</v>
      </c>
      <c r="D78" s="322"/>
      <c r="E78" s="34" t="s">
        <v>45</v>
      </c>
      <c r="F78" s="322" t="s">
        <v>46</v>
      </c>
      <c r="G78" s="322"/>
      <c r="H78" s="341" t="s">
        <v>47</v>
      </c>
      <c r="I78" s="342"/>
      <c r="J78" s="35" t="s">
        <v>48</v>
      </c>
      <c r="K78" s="34" t="s">
        <v>49</v>
      </c>
      <c r="L78" s="37" t="s">
        <v>114</v>
      </c>
      <c r="M78" s="36" t="s">
        <v>3</v>
      </c>
      <c r="N78" s="1"/>
    </row>
    <row r="79" spans="1:14" s="3" customFormat="1" x14ac:dyDescent="0.25">
      <c r="A79" s="26">
        <v>1</v>
      </c>
      <c r="B79" s="57">
        <f>B61</f>
        <v>0</v>
      </c>
      <c r="C79" s="315"/>
      <c r="D79" s="315"/>
      <c r="E79" s="27"/>
      <c r="F79" s="318"/>
      <c r="G79" s="318"/>
      <c r="H79" s="316"/>
      <c r="I79" s="317"/>
      <c r="J79" s="27"/>
      <c r="K79" s="24"/>
      <c r="L79" s="24"/>
      <c r="M79" s="67"/>
      <c r="N79" s="1"/>
    </row>
    <row r="80" spans="1:14" s="3" customFormat="1" x14ac:dyDescent="0.25">
      <c r="A80" s="26">
        <v>1</v>
      </c>
      <c r="B80" s="57">
        <f>B61</f>
        <v>0</v>
      </c>
      <c r="C80" s="315"/>
      <c r="D80" s="315"/>
      <c r="E80" s="27"/>
      <c r="F80" s="318"/>
      <c r="G80" s="318"/>
      <c r="H80" s="316"/>
      <c r="I80" s="317"/>
      <c r="J80" s="27"/>
      <c r="K80" s="24"/>
      <c r="L80" s="24"/>
      <c r="M80" s="19"/>
      <c r="N80" s="1"/>
    </row>
    <row r="81" spans="1:14" s="3" customFormat="1" x14ac:dyDescent="0.25">
      <c r="A81" s="26">
        <v>1</v>
      </c>
      <c r="B81" s="57">
        <f>B61</f>
        <v>0</v>
      </c>
      <c r="C81" s="315"/>
      <c r="D81" s="315"/>
      <c r="E81" s="27"/>
      <c r="F81" s="318"/>
      <c r="G81" s="318"/>
      <c r="H81" s="316"/>
      <c r="I81" s="317"/>
      <c r="J81" s="27"/>
      <c r="K81" s="24"/>
      <c r="L81" s="24"/>
      <c r="M81" s="19"/>
      <c r="N81" s="1"/>
    </row>
    <row r="82" spans="1:14" s="3" customFormat="1" x14ac:dyDescent="0.25">
      <c r="A82" s="26">
        <v>2</v>
      </c>
      <c r="B82" s="57">
        <f>B47</f>
        <v>0</v>
      </c>
      <c r="C82" s="315"/>
      <c r="D82" s="315"/>
      <c r="E82" s="27"/>
      <c r="F82" s="318"/>
      <c r="G82" s="318"/>
      <c r="H82" s="316"/>
      <c r="I82" s="317"/>
      <c r="J82" s="27"/>
      <c r="K82" s="24"/>
      <c r="L82" s="24"/>
      <c r="M82" s="19"/>
      <c r="N82" s="1"/>
    </row>
    <row r="83" spans="1:14" s="3" customFormat="1" x14ac:dyDescent="0.25">
      <c r="A83" s="26">
        <v>2</v>
      </c>
      <c r="B83" s="57">
        <f>B47</f>
        <v>0</v>
      </c>
      <c r="C83" s="315"/>
      <c r="D83" s="315"/>
      <c r="E83" s="27"/>
      <c r="F83" s="318"/>
      <c r="G83" s="318"/>
      <c r="H83" s="316"/>
      <c r="I83" s="317"/>
      <c r="J83" s="27"/>
      <c r="K83" s="24"/>
      <c r="L83" s="24"/>
      <c r="M83" s="19"/>
      <c r="N83" s="1"/>
    </row>
    <row r="84" spans="1:14" s="3" customFormat="1" x14ac:dyDescent="0.25">
      <c r="A84" s="26">
        <v>2</v>
      </c>
      <c r="B84" s="57">
        <f>B47</f>
        <v>0</v>
      </c>
      <c r="C84" s="315"/>
      <c r="D84" s="315"/>
      <c r="E84" s="27"/>
      <c r="F84" s="318"/>
      <c r="G84" s="318"/>
      <c r="H84" s="316"/>
      <c r="I84" s="317"/>
      <c r="J84" s="27"/>
      <c r="K84" s="24"/>
      <c r="L84" s="24"/>
      <c r="M84" s="19"/>
      <c r="N84" s="1"/>
    </row>
    <row r="85" spans="1:14" s="3" customFormat="1" x14ac:dyDescent="0.25">
      <c r="A85" s="26">
        <v>3</v>
      </c>
      <c r="B85" s="57"/>
      <c r="C85" s="315"/>
      <c r="D85" s="315"/>
      <c r="E85" s="27"/>
      <c r="F85" s="318"/>
      <c r="G85" s="318"/>
      <c r="H85" s="316"/>
      <c r="I85" s="317"/>
      <c r="J85" s="27"/>
      <c r="K85" s="24"/>
      <c r="L85" s="24"/>
      <c r="M85" s="19"/>
      <c r="N85" s="1"/>
    </row>
    <row r="86" spans="1:14" s="3" customFormat="1" ht="14.25" customHeight="1" x14ac:dyDescent="0.25">
      <c r="A86" s="26">
        <v>3</v>
      </c>
      <c r="B86" s="57"/>
      <c r="C86" s="315"/>
      <c r="D86" s="315"/>
      <c r="E86" s="27"/>
      <c r="F86" s="318"/>
      <c r="G86" s="318"/>
      <c r="H86" s="316"/>
      <c r="I86" s="317"/>
      <c r="J86" s="27"/>
      <c r="K86" s="24"/>
      <c r="L86" s="24"/>
      <c r="M86" s="19"/>
      <c r="N86" s="1"/>
    </row>
    <row r="87" spans="1:14" s="3" customFormat="1" x14ac:dyDescent="0.25">
      <c r="A87" s="26">
        <v>3</v>
      </c>
      <c r="B87" s="57"/>
      <c r="C87" s="315"/>
      <c r="D87" s="315"/>
      <c r="E87" s="27"/>
      <c r="F87" s="318"/>
      <c r="G87" s="318"/>
      <c r="H87" s="316"/>
      <c r="I87" s="317"/>
      <c r="J87" s="27"/>
      <c r="K87" s="24"/>
      <c r="L87" s="24"/>
      <c r="M87" s="19"/>
      <c r="N87" s="1"/>
    </row>
    <row r="88" spans="1:14" s="3" customFormat="1" x14ac:dyDescent="0.25">
      <c r="A88" s="26">
        <v>4</v>
      </c>
      <c r="B88" s="57"/>
      <c r="C88" s="315"/>
      <c r="D88" s="315"/>
      <c r="E88" s="27"/>
      <c r="F88" s="318"/>
      <c r="G88" s="318"/>
      <c r="H88" s="316"/>
      <c r="I88" s="317"/>
      <c r="J88" s="27"/>
      <c r="K88" s="24"/>
      <c r="L88" s="24"/>
      <c r="M88" s="19"/>
      <c r="N88" s="1"/>
    </row>
    <row r="89" spans="1:14" s="3" customFormat="1" x14ac:dyDescent="0.25">
      <c r="A89" s="26">
        <v>4</v>
      </c>
      <c r="B89" s="57"/>
      <c r="C89" s="315"/>
      <c r="D89" s="315"/>
      <c r="E89" s="27"/>
      <c r="F89" s="318"/>
      <c r="G89" s="318"/>
      <c r="H89" s="316"/>
      <c r="I89" s="317"/>
      <c r="J89" s="27"/>
      <c r="K89" s="24"/>
      <c r="L89" s="24"/>
      <c r="M89" s="19"/>
      <c r="N89" s="1"/>
    </row>
    <row r="90" spans="1:14" s="3" customFormat="1" x14ac:dyDescent="0.25">
      <c r="A90" s="26">
        <v>4</v>
      </c>
      <c r="B90" s="57"/>
      <c r="C90" s="315"/>
      <c r="D90" s="315"/>
      <c r="E90" s="27"/>
      <c r="F90" s="318"/>
      <c r="G90" s="318"/>
      <c r="H90" s="316"/>
      <c r="I90" s="317"/>
      <c r="J90" s="27"/>
      <c r="K90" s="24"/>
      <c r="L90" s="24"/>
      <c r="M90" s="19"/>
      <c r="N90" s="1"/>
    </row>
    <row r="91" spans="1:14" s="3" customFormat="1" x14ac:dyDescent="0.25">
      <c r="A91" s="26">
        <v>5</v>
      </c>
      <c r="B91" s="57"/>
      <c r="C91" s="315"/>
      <c r="D91" s="315"/>
      <c r="E91" s="27"/>
      <c r="F91" s="318"/>
      <c r="G91" s="318"/>
      <c r="H91" s="316"/>
      <c r="I91" s="317"/>
      <c r="J91" s="27"/>
      <c r="K91" s="24"/>
      <c r="L91" s="24"/>
      <c r="M91" s="19"/>
      <c r="N91" s="1"/>
    </row>
    <row r="92" spans="1:14" s="3" customFormat="1" x14ac:dyDescent="0.25">
      <c r="A92" s="26">
        <v>5</v>
      </c>
      <c r="B92" s="57"/>
      <c r="C92" s="315"/>
      <c r="D92" s="315"/>
      <c r="E92" s="27"/>
      <c r="F92" s="318"/>
      <c r="G92" s="318"/>
      <c r="H92" s="316"/>
      <c r="I92" s="317"/>
      <c r="J92" s="27"/>
      <c r="K92" s="24"/>
      <c r="L92" s="24"/>
      <c r="M92" s="19"/>
      <c r="N92" s="1"/>
    </row>
    <row r="93" spans="1:14" s="3" customFormat="1" x14ac:dyDescent="0.25">
      <c r="A93" s="26">
        <v>5</v>
      </c>
      <c r="B93" s="57"/>
      <c r="C93" s="315"/>
      <c r="D93" s="315"/>
      <c r="E93" s="27"/>
      <c r="F93" s="318"/>
      <c r="G93" s="318"/>
      <c r="H93" s="316"/>
      <c r="I93" s="317"/>
      <c r="J93" s="27"/>
      <c r="K93" s="24"/>
      <c r="L93" s="24"/>
      <c r="M93" s="19"/>
      <c r="N93" s="1"/>
    </row>
    <row r="94" spans="1:14" s="3" customFormat="1" x14ac:dyDescent="0.25">
      <c r="A94" s="26">
        <v>6</v>
      </c>
      <c r="B94" s="57"/>
      <c r="C94" s="315"/>
      <c r="D94" s="315"/>
      <c r="E94" s="27"/>
      <c r="F94" s="318"/>
      <c r="G94" s="318"/>
      <c r="H94" s="316"/>
      <c r="I94" s="317"/>
      <c r="J94" s="27"/>
      <c r="K94" s="24"/>
      <c r="L94" s="24"/>
      <c r="M94" s="19"/>
      <c r="N94" s="1"/>
    </row>
    <row r="95" spans="1:14" s="3" customFormat="1" x14ac:dyDescent="0.25">
      <c r="A95" s="26">
        <v>6</v>
      </c>
      <c r="B95" s="57"/>
      <c r="C95" s="315"/>
      <c r="D95" s="315"/>
      <c r="E95" s="27"/>
      <c r="F95" s="318"/>
      <c r="G95" s="318"/>
      <c r="H95" s="316"/>
      <c r="I95" s="317"/>
      <c r="J95" s="27"/>
      <c r="K95" s="24"/>
      <c r="L95" s="24"/>
      <c r="M95" s="19"/>
      <c r="N95" s="1"/>
    </row>
    <row r="96" spans="1:14" s="3" customFormat="1" x14ac:dyDescent="0.25">
      <c r="A96" s="26">
        <v>6</v>
      </c>
      <c r="B96" s="57"/>
      <c r="C96" s="315"/>
      <c r="D96" s="315"/>
      <c r="E96" s="27"/>
      <c r="F96" s="318"/>
      <c r="G96" s="318"/>
      <c r="H96" s="316"/>
      <c r="I96" s="317"/>
      <c r="J96" s="27"/>
      <c r="K96" s="24"/>
      <c r="L96" s="24"/>
      <c r="M96" s="19"/>
      <c r="N96" s="1"/>
    </row>
    <row r="97" spans="1:14" s="3" customFormat="1" x14ac:dyDescent="0.25">
      <c r="A97" s="26">
        <v>7</v>
      </c>
      <c r="B97" s="57"/>
      <c r="C97" s="315"/>
      <c r="D97" s="315"/>
      <c r="E97" s="27"/>
      <c r="F97" s="318"/>
      <c r="G97" s="318"/>
      <c r="H97" s="316"/>
      <c r="I97" s="317"/>
      <c r="J97" s="27"/>
      <c r="K97" s="24"/>
      <c r="L97" s="24"/>
      <c r="M97" s="19"/>
      <c r="N97" s="1"/>
    </row>
    <row r="98" spans="1:14" s="3" customFormat="1" x14ac:dyDescent="0.25">
      <c r="A98" s="26">
        <v>7</v>
      </c>
      <c r="B98" s="57"/>
      <c r="C98" s="315"/>
      <c r="D98" s="315"/>
      <c r="E98" s="27"/>
      <c r="F98" s="318"/>
      <c r="G98" s="318"/>
      <c r="H98" s="316"/>
      <c r="I98" s="317"/>
      <c r="J98" s="27"/>
      <c r="K98" s="24"/>
      <c r="L98" s="24"/>
      <c r="M98" s="19"/>
      <c r="N98" s="1"/>
    </row>
    <row r="99" spans="1:14" s="3" customFormat="1" x14ac:dyDescent="0.25">
      <c r="A99" s="26">
        <v>7</v>
      </c>
      <c r="B99" s="57"/>
      <c r="C99" s="315"/>
      <c r="D99" s="315"/>
      <c r="E99" s="27"/>
      <c r="F99" s="318"/>
      <c r="G99" s="318"/>
      <c r="H99" s="316"/>
      <c r="I99" s="317"/>
      <c r="J99" s="27"/>
      <c r="K99" s="24"/>
      <c r="L99" s="24"/>
      <c r="M99" s="19"/>
      <c r="N99" s="1"/>
    </row>
    <row r="100" spans="1:14" s="3" customFormat="1" x14ac:dyDescent="0.25">
      <c r="A100" s="26">
        <v>8</v>
      </c>
      <c r="B100" s="57"/>
      <c r="C100" s="315"/>
      <c r="D100" s="315"/>
      <c r="E100" s="27"/>
      <c r="F100" s="318"/>
      <c r="G100" s="318"/>
      <c r="H100" s="316"/>
      <c r="I100" s="317"/>
      <c r="J100" s="27"/>
      <c r="K100" s="24"/>
      <c r="L100" s="24"/>
      <c r="M100" s="19"/>
      <c r="N100" s="1"/>
    </row>
    <row r="101" spans="1:14" s="3" customFormat="1" x14ac:dyDescent="0.25">
      <c r="A101" s="26">
        <v>8</v>
      </c>
      <c r="B101" s="57"/>
      <c r="C101" s="315"/>
      <c r="D101" s="315"/>
      <c r="E101" s="27"/>
      <c r="F101" s="318"/>
      <c r="G101" s="318"/>
      <c r="H101" s="316"/>
      <c r="I101" s="317"/>
      <c r="J101" s="27"/>
      <c r="K101" s="24"/>
      <c r="L101" s="24"/>
      <c r="M101" s="19"/>
      <c r="N101" s="1"/>
    </row>
    <row r="102" spans="1:14" s="3" customFormat="1" x14ac:dyDescent="0.25">
      <c r="A102" s="26">
        <v>8</v>
      </c>
      <c r="B102" s="57"/>
      <c r="C102" s="315"/>
      <c r="D102" s="315"/>
      <c r="E102" s="27"/>
      <c r="F102" s="318"/>
      <c r="G102" s="318"/>
      <c r="H102" s="316"/>
      <c r="I102" s="317"/>
      <c r="J102" s="27"/>
      <c r="K102" s="24"/>
      <c r="L102" s="24"/>
      <c r="M102" s="19"/>
      <c r="N102" s="1"/>
    </row>
    <row r="103" spans="1:14" s="3" customFormat="1" x14ac:dyDescent="0.25">
      <c r="A103" s="26">
        <v>9</v>
      </c>
      <c r="B103" s="57"/>
      <c r="C103" s="315"/>
      <c r="D103" s="315"/>
      <c r="E103" s="27"/>
      <c r="F103" s="318"/>
      <c r="G103" s="318"/>
      <c r="H103" s="316"/>
      <c r="I103" s="317"/>
      <c r="J103" s="27"/>
      <c r="K103" s="24"/>
      <c r="L103" s="24"/>
      <c r="M103" s="19"/>
      <c r="N103" s="1"/>
    </row>
    <row r="104" spans="1:14" s="3" customFormat="1" x14ac:dyDescent="0.25">
      <c r="A104" s="26">
        <v>9</v>
      </c>
      <c r="B104" s="57"/>
      <c r="C104" s="315"/>
      <c r="D104" s="315"/>
      <c r="E104" s="27"/>
      <c r="F104" s="318"/>
      <c r="G104" s="318"/>
      <c r="H104" s="316"/>
      <c r="I104" s="317"/>
      <c r="J104" s="27"/>
      <c r="K104" s="24"/>
      <c r="L104" s="24"/>
      <c r="M104" s="19"/>
      <c r="N104" s="1"/>
    </row>
    <row r="105" spans="1:14" s="3" customFormat="1" x14ac:dyDescent="0.25">
      <c r="A105" s="26">
        <v>9</v>
      </c>
      <c r="B105" s="57"/>
      <c r="C105" s="315"/>
      <c r="D105" s="315"/>
      <c r="E105" s="27"/>
      <c r="F105" s="318"/>
      <c r="G105" s="318"/>
      <c r="H105" s="316"/>
      <c r="I105" s="317"/>
      <c r="J105" s="27"/>
      <c r="K105" s="24"/>
      <c r="L105" s="24"/>
      <c r="M105" s="19"/>
      <c r="N105" s="1"/>
    </row>
    <row r="106" spans="1:14" s="3" customFormat="1" x14ac:dyDescent="0.25">
      <c r="A106" s="26">
        <v>10</v>
      </c>
      <c r="B106" s="57"/>
      <c r="C106" s="315"/>
      <c r="D106" s="315"/>
      <c r="E106" s="27"/>
      <c r="F106" s="318"/>
      <c r="G106" s="318"/>
      <c r="H106" s="316"/>
      <c r="I106" s="317"/>
      <c r="J106" s="27"/>
      <c r="K106" s="24"/>
      <c r="L106" s="24"/>
      <c r="M106" s="19"/>
      <c r="N106" s="1"/>
    </row>
    <row r="107" spans="1:14" s="3" customFormat="1" ht="16.5" customHeight="1" x14ac:dyDescent="0.25">
      <c r="A107" s="26">
        <v>10</v>
      </c>
      <c r="B107" s="57"/>
      <c r="E107" s="27"/>
      <c r="F107" s="318"/>
      <c r="G107" s="318"/>
      <c r="H107" s="319"/>
      <c r="I107" s="319"/>
      <c r="J107" s="27"/>
      <c r="K107" s="24"/>
      <c r="L107" s="24"/>
      <c r="M107" s="19"/>
      <c r="N107" s="1"/>
    </row>
    <row r="108" spans="1:14" s="3" customFormat="1" x14ac:dyDescent="0.25">
      <c r="A108" s="26">
        <v>10</v>
      </c>
      <c r="B108" s="95"/>
      <c r="C108" s="315"/>
      <c r="D108" s="315"/>
      <c r="E108" s="27"/>
      <c r="F108" s="318"/>
      <c r="G108" s="318"/>
      <c r="H108" s="319"/>
      <c r="I108" s="319"/>
      <c r="J108" s="27"/>
      <c r="K108" s="24"/>
      <c r="L108" s="24"/>
      <c r="M108" s="19"/>
      <c r="N108" s="1"/>
    </row>
    <row r="109" spans="1:14" s="3" customFormat="1" x14ac:dyDescent="0.25">
      <c r="A109" s="1"/>
      <c r="B109" s="16"/>
      <c r="C109" s="16"/>
      <c r="D109" s="23"/>
      <c r="E109" s="18"/>
      <c r="F109" s="18"/>
      <c r="G109" s="18"/>
      <c r="H109" s="18"/>
      <c r="I109" s="18"/>
      <c r="J109" s="18"/>
      <c r="K109" s="18"/>
      <c r="L109" s="18"/>
      <c r="M109" s="18"/>
      <c r="N109" s="1"/>
    </row>
    <row r="110" spans="1:14" s="3" customFormat="1" x14ac:dyDescent="0.25">
      <c r="A110" s="1"/>
      <c r="B110" s="12"/>
      <c r="C110" s="16"/>
      <c r="D110" s="17"/>
      <c r="E110" s="10"/>
      <c r="F110" s="10"/>
      <c r="G110" s="10"/>
      <c r="H110" s="10"/>
      <c r="I110" s="10"/>
      <c r="J110" s="10"/>
      <c r="K110" s="10"/>
      <c r="L110" s="10"/>
      <c r="M110" s="10"/>
      <c r="N110" s="1"/>
    </row>
    <row r="111" spans="1:14" s="3" customFormat="1" x14ac:dyDescent="0.25">
      <c r="A111" s="12" t="s">
        <v>10</v>
      </c>
      <c r="B111" s="25"/>
      <c r="C111" s="16"/>
      <c r="D111" s="13"/>
      <c r="E111" s="10"/>
      <c r="F111" s="10"/>
      <c r="G111" s="10"/>
      <c r="H111" s="10"/>
      <c r="I111" s="10"/>
      <c r="J111" s="10"/>
      <c r="K111" s="1"/>
      <c r="L111" s="1"/>
      <c r="M111" s="1"/>
      <c r="N111" s="1"/>
    </row>
    <row r="112" spans="1:14" s="3" customFormat="1" x14ac:dyDescent="0.25">
      <c r="A112" s="1"/>
      <c r="B112" s="25"/>
      <c r="C112" s="20"/>
      <c r="D112" s="23"/>
      <c r="E112" s="18"/>
      <c r="F112" s="18"/>
      <c r="G112" s="335"/>
      <c r="H112" s="335"/>
      <c r="I112" s="18"/>
      <c r="J112" s="18"/>
      <c r="K112" s="58"/>
      <c r="L112" s="58"/>
      <c r="M112" s="56"/>
      <c r="N112" s="1"/>
    </row>
    <row r="113" spans="1:14" s="3" customFormat="1" ht="87" customHeight="1" x14ac:dyDescent="0.25">
      <c r="A113" s="47" t="s">
        <v>4</v>
      </c>
      <c r="B113" s="301" t="s">
        <v>36</v>
      </c>
      <c r="C113" s="320"/>
      <c r="D113" s="55" t="s">
        <v>73</v>
      </c>
      <c r="E113" s="55" t="s">
        <v>74</v>
      </c>
      <c r="F113" s="300" t="s">
        <v>75</v>
      </c>
      <c r="G113" s="300"/>
      <c r="H113" s="300" t="s">
        <v>76</v>
      </c>
      <c r="I113" s="300"/>
      <c r="J113" s="310" t="s">
        <v>72</v>
      </c>
      <c r="K113" s="311"/>
      <c r="L113" s="299" t="s">
        <v>337</v>
      </c>
      <c r="M113" s="300"/>
      <c r="N113" s="1"/>
    </row>
    <row r="114" spans="1:14" s="3" customFormat="1" x14ac:dyDescent="0.25">
      <c r="A114" s="46">
        <v>1</v>
      </c>
      <c r="B114" s="295">
        <f t="shared" ref="B114:B123" si="1">B61</f>
        <v>0</v>
      </c>
      <c r="C114" s="312"/>
      <c r="D114" s="14"/>
      <c r="E114" s="14"/>
      <c r="F114" s="313"/>
      <c r="G114" s="314"/>
      <c r="H114" s="293"/>
      <c r="I114" s="294"/>
      <c r="J114" s="293"/>
      <c r="K114" s="294"/>
      <c r="L114" s="346"/>
      <c r="M114" s="346"/>
      <c r="N114" s="1"/>
    </row>
    <row r="115" spans="1:14" s="3" customFormat="1" x14ac:dyDescent="0.25">
      <c r="A115" s="46">
        <v>2</v>
      </c>
      <c r="B115" s="295">
        <f t="shared" si="1"/>
        <v>0</v>
      </c>
      <c r="C115" s="312"/>
      <c r="D115" s="14"/>
      <c r="E115" s="14"/>
      <c r="F115" s="313"/>
      <c r="G115" s="314"/>
      <c r="H115" s="293"/>
      <c r="I115" s="294"/>
      <c r="J115" s="293"/>
      <c r="K115" s="294"/>
      <c r="L115" s="346"/>
      <c r="M115" s="346"/>
      <c r="N115" s="1"/>
    </row>
    <row r="116" spans="1:14" s="3" customFormat="1" x14ac:dyDescent="0.25">
      <c r="A116" s="46">
        <v>3</v>
      </c>
      <c r="B116" s="295">
        <f t="shared" si="1"/>
        <v>0</v>
      </c>
      <c r="C116" s="312"/>
      <c r="D116" s="14"/>
      <c r="E116" s="14"/>
      <c r="F116" s="313"/>
      <c r="G116" s="314"/>
      <c r="H116" s="293"/>
      <c r="I116" s="294"/>
      <c r="J116" s="305"/>
      <c r="K116" s="307"/>
      <c r="L116" s="346"/>
      <c r="M116" s="346"/>
      <c r="N116" s="1"/>
    </row>
    <row r="117" spans="1:14" s="3" customFormat="1" x14ac:dyDescent="0.25">
      <c r="A117" s="46">
        <v>4</v>
      </c>
      <c r="B117" s="295">
        <f t="shared" si="1"/>
        <v>0</v>
      </c>
      <c r="C117" s="312"/>
      <c r="D117" s="14"/>
      <c r="E117" s="14"/>
      <c r="F117" s="313"/>
      <c r="G117" s="314"/>
      <c r="H117" s="293"/>
      <c r="I117" s="294"/>
      <c r="J117" s="305"/>
      <c r="K117" s="307"/>
      <c r="L117" s="346"/>
      <c r="M117" s="346"/>
      <c r="N117" s="1"/>
    </row>
    <row r="118" spans="1:14" s="3" customFormat="1" x14ac:dyDescent="0.25">
      <c r="A118" s="46">
        <v>5</v>
      </c>
      <c r="B118" s="295">
        <f t="shared" si="1"/>
        <v>0</v>
      </c>
      <c r="C118" s="312"/>
      <c r="D118" s="14"/>
      <c r="E118" s="14"/>
      <c r="F118" s="313"/>
      <c r="G118" s="314"/>
      <c r="H118" s="293"/>
      <c r="I118" s="294"/>
      <c r="J118" s="305"/>
      <c r="K118" s="307"/>
      <c r="L118" s="321"/>
      <c r="M118" s="321"/>
      <c r="N118" s="1"/>
    </row>
    <row r="119" spans="1:14" s="3" customFormat="1" x14ac:dyDescent="0.25">
      <c r="A119" s="46">
        <v>6</v>
      </c>
      <c r="B119" s="295">
        <f t="shared" si="1"/>
        <v>0</v>
      </c>
      <c r="C119" s="312"/>
      <c r="D119" s="14"/>
      <c r="E119" s="14"/>
      <c r="F119" s="313"/>
      <c r="G119" s="314"/>
      <c r="H119" s="293"/>
      <c r="I119" s="294"/>
      <c r="J119" s="305"/>
      <c r="K119" s="307"/>
      <c r="L119" s="321"/>
      <c r="M119" s="321"/>
      <c r="N119" s="1"/>
    </row>
    <row r="120" spans="1:14" s="3" customFormat="1" x14ac:dyDescent="0.25">
      <c r="A120" s="46">
        <v>7</v>
      </c>
      <c r="B120" s="295">
        <f t="shared" si="1"/>
        <v>0</v>
      </c>
      <c r="C120" s="312"/>
      <c r="D120" s="14"/>
      <c r="E120" s="14"/>
      <c r="F120" s="313"/>
      <c r="G120" s="314"/>
      <c r="H120" s="293"/>
      <c r="I120" s="294"/>
      <c r="J120" s="293"/>
      <c r="K120" s="294"/>
      <c r="L120" s="321"/>
      <c r="M120" s="321"/>
      <c r="N120" s="1"/>
    </row>
    <row r="121" spans="1:14" s="3" customFormat="1" x14ac:dyDescent="0.25">
      <c r="A121" s="46">
        <v>8</v>
      </c>
      <c r="B121" s="295">
        <f t="shared" si="1"/>
        <v>0</v>
      </c>
      <c r="C121" s="312"/>
      <c r="D121" s="14"/>
      <c r="E121" s="14"/>
      <c r="F121" s="313"/>
      <c r="G121" s="314"/>
      <c r="H121" s="293"/>
      <c r="I121" s="294"/>
      <c r="J121" s="305"/>
      <c r="K121" s="307"/>
      <c r="L121" s="321"/>
      <c r="M121" s="321"/>
      <c r="N121" s="1"/>
    </row>
    <row r="122" spans="1:14" s="3" customFormat="1" x14ac:dyDescent="0.25">
      <c r="A122" s="46">
        <v>9</v>
      </c>
      <c r="B122" s="295">
        <f t="shared" si="1"/>
        <v>0</v>
      </c>
      <c r="C122" s="312"/>
      <c r="D122" s="14"/>
      <c r="E122" s="14"/>
      <c r="F122" s="313"/>
      <c r="G122" s="314"/>
      <c r="H122" s="293"/>
      <c r="I122" s="294"/>
      <c r="J122" s="293"/>
      <c r="K122" s="294"/>
      <c r="L122" s="321"/>
      <c r="M122" s="321"/>
      <c r="N122" s="1"/>
    </row>
    <row r="123" spans="1:14" s="3" customFormat="1" x14ac:dyDescent="0.25">
      <c r="A123" s="46">
        <v>10</v>
      </c>
      <c r="B123" s="295">
        <f t="shared" si="1"/>
        <v>0</v>
      </c>
      <c r="C123" s="312"/>
      <c r="D123" s="14"/>
      <c r="E123" s="14"/>
      <c r="F123" s="313"/>
      <c r="G123" s="314"/>
      <c r="H123" s="293"/>
      <c r="I123" s="294"/>
      <c r="J123" s="305"/>
      <c r="K123" s="307"/>
      <c r="L123" s="321"/>
      <c r="M123" s="321"/>
      <c r="N123" s="1"/>
    </row>
    <row r="124" spans="1:14" s="3" customFormat="1" x14ac:dyDescent="0.25">
      <c r="A124" s="1"/>
      <c r="B124" s="25"/>
      <c r="C124" s="16"/>
      <c r="D124" s="20"/>
      <c r="E124" s="18"/>
      <c r="F124" s="18"/>
      <c r="G124" s="20"/>
      <c r="H124" s="20"/>
      <c r="I124" s="20"/>
      <c r="J124" s="20"/>
      <c r="K124" s="335"/>
      <c r="L124" s="335"/>
      <c r="M124" s="335"/>
      <c r="N124" s="1"/>
    </row>
    <row r="125" spans="1:14" s="3" customFormat="1" ht="15.75" customHeight="1" x14ac:dyDescent="0.25">
      <c r="A125" s="1"/>
      <c r="B125" s="13"/>
      <c r="C125" s="16"/>
      <c r="D125" s="58"/>
      <c r="E125" s="58"/>
      <c r="F125" s="58"/>
      <c r="G125" s="18"/>
      <c r="H125" s="18"/>
      <c r="I125" s="18"/>
      <c r="J125" s="18"/>
      <c r="K125" s="18"/>
      <c r="L125" s="18"/>
      <c r="M125" s="18"/>
      <c r="N125" s="1"/>
    </row>
    <row r="126" spans="1:14" s="3" customFormat="1" ht="15.75" customHeight="1" x14ac:dyDescent="0.25">
      <c r="A126" s="12" t="s">
        <v>88</v>
      </c>
      <c r="B126" s="25"/>
      <c r="C126" s="16"/>
      <c r="D126" s="13"/>
      <c r="E126" s="10"/>
      <c r="F126" s="10"/>
      <c r="G126" s="10"/>
      <c r="H126" s="10"/>
      <c r="I126" s="10"/>
      <c r="J126" s="10"/>
      <c r="K126" s="343"/>
      <c r="L126" s="343"/>
      <c r="M126" s="336"/>
      <c r="N126" s="1"/>
    </row>
    <row r="127" spans="1:14" s="3" customFormat="1" ht="15.75" customHeight="1" x14ac:dyDescent="0.25">
      <c r="A127" s="12"/>
      <c r="B127" s="25"/>
      <c r="C127" s="16"/>
      <c r="D127" s="13"/>
      <c r="E127" s="10"/>
      <c r="F127" s="10"/>
      <c r="G127" s="10"/>
      <c r="H127" s="10"/>
      <c r="I127" s="10"/>
      <c r="J127" s="10"/>
      <c r="K127" s="33"/>
      <c r="L127" s="38"/>
      <c r="M127" s="32"/>
      <c r="N127" s="1"/>
    </row>
    <row r="128" spans="1:14" s="3" customFormat="1" ht="15.75" customHeight="1" x14ac:dyDescent="0.25">
      <c r="A128" s="12"/>
      <c r="B128" s="25" t="s">
        <v>60</v>
      </c>
      <c r="C128" s="16"/>
      <c r="D128" s="13"/>
      <c r="E128" s="10"/>
      <c r="F128" s="10"/>
      <c r="G128" s="10"/>
      <c r="H128" s="10"/>
      <c r="I128" s="10"/>
      <c r="J128" s="10"/>
      <c r="K128" s="33"/>
      <c r="L128" s="38"/>
      <c r="M128" s="32"/>
      <c r="N128" s="1"/>
    </row>
    <row r="129" spans="1:14" s="3" customFormat="1" ht="15.75" customHeight="1" x14ac:dyDescent="0.25">
      <c r="A129" s="12"/>
      <c r="B129" s="25"/>
      <c r="C129" s="16"/>
      <c r="D129" s="13"/>
      <c r="E129" s="10"/>
      <c r="F129" s="10"/>
      <c r="G129" s="10"/>
      <c r="H129" s="10"/>
      <c r="I129" s="10"/>
      <c r="J129" s="10"/>
      <c r="K129" s="33"/>
      <c r="L129" s="38"/>
      <c r="M129" s="32"/>
      <c r="N129" s="1"/>
    </row>
    <row r="130" spans="1:14" s="3" customFormat="1" ht="60.75" customHeight="1" x14ac:dyDescent="0.25">
      <c r="A130" s="47" t="s">
        <v>4</v>
      </c>
      <c r="B130" s="301" t="s">
        <v>36</v>
      </c>
      <c r="C130" s="302"/>
      <c r="D130" s="55" t="s">
        <v>52</v>
      </c>
      <c r="E130" s="55" t="s">
        <v>54</v>
      </c>
      <c r="F130" s="310" t="s">
        <v>53</v>
      </c>
      <c r="G130" s="311"/>
      <c r="H130" s="55" t="s">
        <v>55</v>
      </c>
      <c r="I130" s="310" t="s">
        <v>56</v>
      </c>
      <c r="J130" s="311"/>
      <c r="K130" s="55" t="s">
        <v>57</v>
      </c>
      <c r="L130" s="310" t="s">
        <v>58</v>
      </c>
      <c r="M130" s="311"/>
      <c r="N130" s="1"/>
    </row>
    <row r="131" spans="1:14" s="3" customFormat="1" x14ac:dyDescent="0.25">
      <c r="A131" s="46">
        <v>1</v>
      </c>
      <c r="B131" s="295">
        <f>B114</f>
        <v>0</v>
      </c>
      <c r="C131" s="296"/>
      <c r="D131" s="14"/>
      <c r="E131" s="19"/>
      <c r="F131" s="305"/>
      <c r="G131" s="307"/>
      <c r="H131" s="31"/>
      <c r="I131" s="305"/>
      <c r="J131" s="307"/>
      <c r="K131" s="19"/>
      <c r="L131" s="305"/>
      <c r="M131" s="307"/>
      <c r="N131" s="1"/>
    </row>
    <row r="132" spans="1:14" s="3" customFormat="1" x14ac:dyDescent="0.25">
      <c r="A132" s="46">
        <v>2</v>
      </c>
      <c r="B132" s="295">
        <f t="shared" ref="B132:B140" si="2">B115</f>
        <v>0</v>
      </c>
      <c r="C132" s="296"/>
      <c r="D132" s="14"/>
      <c r="E132" s="19"/>
      <c r="F132" s="305"/>
      <c r="G132" s="307"/>
      <c r="H132" s="19"/>
      <c r="I132" s="305"/>
      <c r="J132" s="307"/>
      <c r="K132" s="59"/>
      <c r="L132" s="344"/>
      <c r="M132" s="345"/>
      <c r="N132" s="1"/>
    </row>
    <row r="133" spans="1:14" s="3" customFormat="1" x14ac:dyDescent="0.25">
      <c r="A133" s="46">
        <v>3</v>
      </c>
      <c r="B133" s="295">
        <f t="shared" si="2"/>
        <v>0</v>
      </c>
      <c r="C133" s="296"/>
      <c r="D133" s="14"/>
      <c r="E133" s="19"/>
      <c r="F133" s="305"/>
      <c r="G133" s="307"/>
      <c r="H133" s="28"/>
      <c r="I133" s="305"/>
      <c r="J133" s="307"/>
      <c r="K133" s="59"/>
      <c r="L133" s="344"/>
      <c r="M133" s="345"/>
      <c r="N133" s="1"/>
    </row>
    <row r="134" spans="1:14" s="3" customFormat="1" x14ac:dyDescent="0.25">
      <c r="A134" s="46">
        <v>4</v>
      </c>
      <c r="B134" s="295">
        <f t="shared" si="2"/>
        <v>0</v>
      </c>
      <c r="C134" s="296"/>
      <c r="D134" s="14"/>
      <c r="E134" s="19"/>
      <c r="F134" s="305"/>
      <c r="G134" s="307"/>
      <c r="H134" s="28"/>
      <c r="I134" s="305"/>
      <c r="J134" s="307"/>
      <c r="K134" s="59"/>
      <c r="L134" s="344"/>
      <c r="M134" s="345"/>
      <c r="N134" s="1"/>
    </row>
    <row r="135" spans="1:14" s="3" customFormat="1" x14ac:dyDescent="0.25">
      <c r="A135" s="46">
        <v>5</v>
      </c>
      <c r="B135" s="295">
        <f t="shared" si="2"/>
        <v>0</v>
      </c>
      <c r="C135" s="296"/>
      <c r="D135" s="14"/>
      <c r="E135" s="19"/>
      <c r="F135" s="305"/>
      <c r="G135" s="307"/>
      <c r="H135" s="31"/>
      <c r="I135" s="305"/>
      <c r="J135" s="307"/>
      <c r="K135" s="59"/>
      <c r="L135" s="344"/>
      <c r="M135" s="345"/>
      <c r="N135" s="1"/>
    </row>
    <row r="136" spans="1:14" s="3" customFormat="1" x14ac:dyDescent="0.25">
      <c r="A136" s="46">
        <v>6</v>
      </c>
      <c r="B136" s="295">
        <f t="shared" si="2"/>
        <v>0</v>
      </c>
      <c r="C136" s="296"/>
      <c r="D136" s="14"/>
      <c r="E136" s="19"/>
      <c r="F136" s="305"/>
      <c r="G136" s="307"/>
      <c r="H136" s="19"/>
      <c r="I136" s="305"/>
      <c r="J136" s="307"/>
      <c r="K136" s="60"/>
      <c r="L136" s="344"/>
      <c r="M136" s="345"/>
      <c r="N136" s="1"/>
    </row>
    <row r="137" spans="1:14" s="3" customFormat="1" x14ac:dyDescent="0.25">
      <c r="A137" s="46">
        <v>7</v>
      </c>
      <c r="B137" s="295">
        <f t="shared" si="2"/>
        <v>0</v>
      </c>
      <c r="C137" s="296"/>
      <c r="D137" s="28"/>
      <c r="E137" s="19"/>
      <c r="F137" s="305"/>
      <c r="G137" s="307"/>
      <c r="H137" s="28"/>
      <c r="I137" s="305"/>
      <c r="J137" s="307"/>
      <c r="K137" s="31"/>
      <c r="L137" s="305"/>
      <c r="M137" s="307"/>
      <c r="N137" s="1"/>
    </row>
    <row r="138" spans="1:14" s="3" customFormat="1" x14ac:dyDescent="0.25">
      <c r="A138" s="46">
        <v>8</v>
      </c>
      <c r="B138" s="295">
        <f t="shared" si="2"/>
        <v>0</v>
      </c>
      <c r="C138" s="296"/>
      <c r="D138" s="28"/>
      <c r="E138" s="19"/>
      <c r="F138" s="305"/>
      <c r="G138" s="307"/>
      <c r="H138" s="28"/>
      <c r="I138" s="305"/>
      <c r="J138" s="307"/>
      <c r="K138" s="44"/>
      <c r="L138" s="305"/>
      <c r="M138" s="307"/>
      <c r="N138" s="1"/>
    </row>
    <row r="139" spans="1:14" s="3" customFormat="1" x14ac:dyDescent="0.25">
      <c r="A139" s="46">
        <v>9</v>
      </c>
      <c r="B139" s="295">
        <f t="shared" si="2"/>
        <v>0</v>
      </c>
      <c r="C139" s="296"/>
      <c r="D139" s="28"/>
      <c r="E139" s="19"/>
      <c r="F139" s="305"/>
      <c r="G139" s="307"/>
      <c r="H139" s="28"/>
      <c r="I139" s="305"/>
      <c r="J139" s="307"/>
      <c r="K139" s="31"/>
      <c r="L139" s="305"/>
      <c r="M139" s="307"/>
      <c r="N139" s="1"/>
    </row>
    <row r="140" spans="1:14" s="3" customFormat="1" x14ac:dyDescent="0.25">
      <c r="A140" s="46">
        <v>10</v>
      </c>
      <c r="B140" s="295">
        <f t="shared" si="2"/>
        <v>0</v>
      </c>
      <c r="C140" s="296"/>
      <c r="D140" s="61"/>
      <c r="E140" s="62"/>
      <c r="F140" s="305"/>
      <c r="G140" s="307"/>
      <c r="H140" s="62"/>
      <c r="I140" s="305"/>
      <c r="J140" s="307"/>
      <c r="K140" s="62"/>
      <c r="L140" s="305"/>
      <c r="M140" s="307"/>
      <c r="N140" s="1"/>
    </row>
    <row r="141" spans="1:14" s="3" customFormat="1" ht="15" customHeight="1" x14ac:dyDescent="0.25">
      <c r="A141" s="1"/>
      <c r="B141" s="23"/>
      <c r="C141" s="16"/>
      <c r="D141" s="63"/>
      <c r="E141" s="30"/>
      <c r="F141" s="30"/>
      <c r="G141" s="63"/>
      <c r="H141" s="63"/>
      <c r="I141" s="63"/>
      <c r="J141" s="63"/>
      <c r="K141" s="337"/>
      <c r="L141" s="337"/>
      <c r="M141" s="337"/>
      <c r="N141" s="1"/>
    </row>
    <row r="142" spans="1:14" s="3" customFormat="1" x14ac:dyDescent="0.25">
      <c r="A142" s="1"/>
      <c r="B142" s="13"/>
      <c r="C142" s="16"/>
      <c r="D142" s="17"/>
      <c r="E142" s="10"/>
      <c r="F142" s="10"/>
      <c r="G142" s="20"/>
      <c r="H142" s="20"/>
      <c r="I142" s="20"/>
      <c r="J142" s="17"/>
      <c r="K142" s="22"/>
      <c r="L142" s="54"/>
      <c r="M142" s="22"/>
      <c r="N142" s="1"/>
    </row>
    <row r="143" spans="1:14" s="3" customFormat="1" x14ac:dyDescent="0.25">
      <c r="A143" s="1"/>
      <c r="B143" s="25" t="s">
        <v>59</v>
      </c>
      <c r="C143" s="16"/>
      <c r="D143" s="17"/>
      <c r="E143" s="10"/>
      <c r="F143" s="10"/>
      <c r="G143" s="20"/>
      <c r="H143" s="20"/>
      <c r="I143" s="20"/>
      <c r="J143" s="17"/>
      <c r="K143" s="22"/>
      <c r="L143" s="54"/>
      <c r="M143" s="22"/>
      <c r="N143" s="1"/>
    </row>
    <row r="144" spans="1:14" s="3" customFormat="1" x14ac:dyDescent="0.25">
      <c r="A144" s="1"/>
      <c r="B144" s="13"/>
      <c r="C144" s="20"/>
      <c r="D144" s="13"/>
      <c r="E144" s="10"/>
      <c r="F144" s="10"/>
      <c r="G144" s="335"/>
      <c r="H144" s="335"/>
      <c r="I144" s="10"/>
      <c r="J144" s="10"/>
      <c r="K144" s="10"/>
      <c r="L144" s="10"/>
      <c r="M144" s="10"/>
      <c r="N144" s="1"/>
    </row>
    <row r="145" spans="1:14" s="3" customFormat="1" ht="28.5" x14ac:dyDescent="0.25">
      <c r="A145" s="47" t="s">
        <v>4</v>
      </c>
      <c r="B145" s="301" t="s">
        <v>36</v>
      </c>
      <c r="C145" s="302"/>
      <c r="D145" s="55" t="s">
        <v>61</v>
      </c>
      <c r="E145" s="55" t="s">
        <v>62</v>
      </c>
      <c r="F145" s="10"/>
      <c r="G145" s="22"/>
      <c r="H145" s="22"/>
      <c r="I145" s="10"/>
      <c r="J145" s="10"/>
      <c r="K145" s="10"/>
      <c r="L145" s="10"/>
      <c r="M145" s="10"/>
      <c r="N145" s="1"/>
    </row>
    <row r="146" spans="1:14" s="3" customFormat="1" x14ac:dyDescent="0.25">
      <c r="A146" s="46">
        <v>1</v>
      </c>
      <c r="B146" s="295">
        <f>B131</f>
        <v>0</v>
      </c>
      <c r="C146" s="296"/>
      <c r="D146" s="14"/>
      <c r="E146" s="14"/>
      <c r="F146" s="10"/>
      <c r="G146" s="22"/>
      <c r="H146" s="22"/>
      <c r="I146" s="10"/>
      <c r="J146" s="10"/>
      <c r="K146" s="10"/>
      <c r="L146" s="10"/>
      <c r="M146" s="10"/>
      <c r="N146" s="1"/>
    </row>
    <row r="147" spans="1:14" s="3" customFormat="1" x14ac:dyDescent="0.25">
      <c r="A147" s="46">
        <v>2</v>
      </c>
      <c r="B147" s="295">
        <f t="shared" ref="B147:B155" si="3">B132</f>
        <v>0</v>
      </c>
      <c r="C147" s="296"/>
      <c r="D147" s="14"/>
      <c r="E147" s="14"/>
      <c r="F147" s="10"/>
      <c r="G147" s="22"/>
      <c r="H147" s="22"/>
      <c r="I147" s="10"/>
      <c r="J147" s="10"/>
      <c r="K147" s="10"/>
      <c r="L147" s="10"/>
      <c r="M147" s="10"/>
      <c r="N147" s="1"/>
    </row>
    <row r="148" spans="1:14" s="3" customFormat="1" x14ac:dyDescent="0.25">
      <c r="A148" s="46">
        <v>3</v>
      </c>
      <c r="B148" s="295">
        <f t="shared" si="3"/>
        <v>0</v>
      </c>
      <c r="C148" s="296"/>
      <c r="D148" s="14"/>
      <c r="E148" s="14"/>
      <c r="F148" s="10"/>
      <c r="G148" s="22"/>
      <c r="H148" s="22"/>
      <c r="I148" s="10"/>
      <c r="J148" s="10"/>
      <c r="K148" s="10"/>
      <c r="L148" s="10"/>
      <c r="M148" s="10"/>
      <c r="N148" s="1"/>
    </row>
    <row r="149" spans="1:14" s="3" customFormat="1" x14ac:dyDescent="0.25">
      <c r="A149" s="46">
        <v>4</v>
      </c>
      <c r="B149" s="295">
        <f t="shared" si="3"/>
        <v>0</v>
      </c>
      <c r="C149" s="296"/>
      <c r="D149" s="14"/>
      <c r="E149" s="14"/>
      <c r="F149" s="10"/>
      <c r="G149" s="22"/>
      <c r="H149" s="22"/>
      <c r="I149" s="10"/>
      <c r="J149" s="10"/>
      <c r="K149" s="10"/>
      <c r="L149" s="10"/>
      <c r="M149" s="10"/>
      <c r="N149" s="1"/>
    </row>
    <row r="150" spans="1:14" s="3" customFormat="1" x14ac:dyDescent="0.25">
      <c r="A150" s="46">
        <v>5</v>
      </c>
      <c r="B150" s="295">
        <f t="shared" si="3"/>
        <v>0</v>
      </c>
      <c r="C150" s="296"/>
      <c r="D150" s="14"/>
      <c r="E150" s="14"/>
      <c r="F150" s="10"/>
      <c r="G150" s="22"/>
      <c r="H150" s="22"/>
      <c r="I150" s="10"/>
      <c r="J150" s="10"/>
      <c r="K150" s="10"/>
      <c r="L150" s="10"/>
      <c r="M150" s="10"/>
      <c r="N150" s="1"/>
    </row>
    <row r="151" spans="1:14" s="3" customFormat="1" x14ac:dyDescent="0.25">
      <c r="A151" s="46">
        <v>6</v>
      </c>
      <c r="B151" s="295">
        <f t="shared" si="3"/>
        <v>0</v>
      </c>
      <c r="C151" s="296"/>
      <c r="D151" s="14"/>
      <c r="E151" s="14"/>
      <c r="F151" s="10"/>
      <c r="G151" s="22"/>
      <c r="H151" s="22"/>
      <c r="I151" s="10"/>
      <c r="J151" s="10"/>
      <c r="K151" s="10"/>
      <c r="L151" s="10"/>
      <c r="M151" s="10"/>
      <c r="N151" s="1"/>
    </row>
    <row r="152" spans="1:14" s="3" customFormat="1" x14ac:dyDescent="0.25">
      <c r="A152" s="46">
        <v>7</v>
      </c>
      <c r="B152" s="295">
        <f t="shared" si="3"/>
        <v>0</v>
      </c>
      <c r="C152" s="296"/>
      <c r="D152" s="14"/>
      <c r="E152" s="14"/>
      <c r="F152" s="10"/>
      <c r="G152" s="22"/>
      <c r="H152" s="22"/>
      <c r="I152" s="10"/>
      <c r="J152" s="10"/>
      <c r="K152" s="10"/>
      <c r="L152" s="10"/>
      <c r="M152" s="10"/>
      <c r="N152" s="1"/>
    </row>
    <row r="153" spans="1:14" s="3" customFormat="1" x14ac:dyDescent="0.25">
      <c r="A153" s="46">
        <v>8</v>
      </c>
      <c r="B153" s="295">
        <f t="shared" si="3"/>
        <v>0</v>
      </c>
      <c r="C153" s="296"/>
      <c r="D153" s="14"/>
      <c r="E153" s="14"/>
      <c r="F153" s="10"/>
      <c r="G153" s="22"/>
      <c r="H153" s="22"/>
      <c r="I153" s="10"/>
      <c r="J153" s="10"/>
      <c r="K153" s="10"/>
      <c r="L153" s="10"/>
      <c r="M153" s="10"/>
      <c r="N153" s="1"/>
    </row>
    <row r="154" spans="1:14" s="3" customFormat="1" x14ac:dyDescent="0.25">
      <c r="A154" s="46">
        <v>9</v>
      </c>
      <c r="B154" s="295">
        <f t="shared" si="3"/>
        <v>0</v>
      </c>
      <c r="C154" s="296"/>
      <c r="D154" s="14"/>
      <c r="E154" s="14"/>
      <c r="F154" s="10"/>
      <c r="G154" s="10"/>
      <c r="H154" s="10"/>
      <c r="I154" s="10"/>
      <c r="J154" s="10"/>
      <c r="K154" s="10"/>
      <c r="L154" s="10"/>
      <c r="M154" s="10"/>
      <c r="N154" s="1"/>
    </row>
    <row r="155" spans="1:14" s="3" customFormat="1" x14ac:dyDescent="0.25">
      <c r="A155" s="46">
        <v>10</v>
      </c>
      <c r="B155" s="295">
        <f t="shared" si="3"/>
        <v>0</v>
      </c>
      <c r="C155" s="296"/>
      <c r="D155" s="14"/>
      <c r="E155" s="14"/>
      <c r="F155" s="10"/>
      <c r="G155" s="336"/>
      <c r="H155" s="336"/>
      <c r="I155" s="10"/>
      <c r="J155" s="10"/>
      <c r="K155" s="10"/>
      <c r="L155" s="10"/>
      <c r="M155" s="10"/>
      <c r="N155" s="1"/>
    </row>
    <row r="156" spans="1:14" s="3" customFormat="1" x14ac:dyDescent="0.25">
      <c r="A156" s="1"/>
      <c r="B156" s="13"/>
      <c r="C156" s="16"/>
      <c r="D156" s="17"/>
      <c r="E156" s="10"/>
      <c r="F156" s="10"/>
      <c r="G156" s="10"/>
      <c r="H156" s="10"/>
      <c r="I156" s="10"/>
      <c r="J156" s="10"/>
      <c r="K156" s="10"/>
      <c r="L156" s="10"/>
      <c r="M156" s="10"/>
      <c r="N156" s="1"/>
    </row>
    <row r="157" spans="1:14" s="3" customFormat="1" x14ac:dyDescent="0.25">
      <c r="A157" s="1"/>
      <c r="B157" s="13"/>
      <c r="C157" s="16"/>
      <c r="D157" s="13"/>
      <c r="E157" s="10"/>
      <c r="F157" s="10"/>
      <c r="G157" s="10"/>
      <c r="H157" s="10"/>
      <c r="I157" s="10"/>
      <c r="J157" s="10"/>
      <c r="K157" s="10"/>
      <c r="L157" s="10"/>
      <c r="M157" s="10"/>
      <c r="N157" s="1"/>
    </row>
    <row r="158" spans="1:14" s="3" customFormat="1" x14ac:dyDescent="0.25">
      <c r="A158" s="12" t="s">
        <v>50</v>
      </c>
      <c r="B158" s="1"/>
      <c r="C158" s="16"/>
      <c r="D158" s="13"/>
      <c r="E158" s="10"/>
      <c r="F158" s="10"/>
      <c r="G158" s="10"/>
      <c r="H158" s="10"/>
      <c r="I158" s="10"/>
      <c r="J158" s="10"/>
      <c r="K158" s="10"/>
      <c r="L158" s="10"/>
      <c r="M158" s="10"/>
      <c r="N158" s="1"/>
    </row>
    <row r="159" spans="1:14" s="3" customFormat="1" x14ac:dyDescent="0.25">
      <c r="A159" s="1"/>
      <c r="B159" s="12"/>
      <c r="C159" s="16"/>
      <c r="D159" s="13"/>
      <c r="E159" s="10"/>
      <c r="F159" s="10"/>
      <c r="G159" s="10"/>
      <c r="H159" s="10"/>
      <c r="I159" s="10"/>
      <c r="J159" s="10"/>
      <c r="K159" s="10"/>
      <c r="L159" s="10"/>
      <c r="M159" s="10"/>
      <c r="N159" s="1"/>
    </row>
    <row r="160" spans="1:14" s="3" customFormat="1" ht="57" customHeight="1" x14ac:dyDescent="0.25">
      <c r="A160" s="47" t="s">
        <v>4</v>
      </c>
      <c r="B160" s="301" t="s">
        <v>36</v>
      </c>
      <c r="C160" s="302"/>
      <c r="D160" s="55" t="s">
        <v>63</v>
      </c>
      <c r="E160" s="55" t="s">
        <v>64</v>
      </c>
      <c r="F160" s="55" t="s">
        <v>65</v>
      </c>
      <c r="G160" s="300" t="s">
        <v>66</v>
      </c>
      <c r="H160" s="300"/>
      <c r="I160" s="300" t="s">
        <v>67</v>
      </c>
      <c r="J160" s="300"/>
      <c r="K160" s="308" t="s">
        <v>68</v>
      </c>
      <c r="L160" s="308"/>
      <c r="M160" s="308"/>
      <c r="N160" s="1"/>
    </row>
    <row r="161" spans="1:14" s="3" customFormat="1" x14ac:dyDescent="0.25">
      <c r="A161" s="46">
        <v>1</v>
      </c>
      <c r="B161" s="295">
        <f>B146</f>
        <v>0</v>
      </c>
      <c r="C161" s="296"/>
      <c r="D161" s="64"/>
      <c r="E161" s="64"/>
      <c r="F161" s="64"/>
      <c r="G161" s="309"/>
      <c r="H161" s="309"/>
      <c r="I161" s="309"/>
      <c r="J161" s="309"/>
      <c r="K161" s="305"/>
      <c r="L161" s="306"/>
      <c r="M161" s="307"/>
      <c r="N161" s="1"/>
    </row>
    <row r="162" spans="1:14" s="3" customFormat="1" x14ac:dyDescent="0.25">
      <c r="A162" s="46">
        <v>2</v>
      </c>
      <c r="B162" s="295">
        <f t="shared" ref="B162:B170" si="4">B147</f>
        <v>0</v>
      </c>
      <c r="C162" s="296"/>
      <c r="D162" s="64"/>
      <c r="E162" s="64"/>
      <c r="F162" s="64"/>
      <c r="G162" s="309"/>
      <c r="H162" s="309"/>
      <c r="I162" s="309"/>
      <c r="J162" s="309"/>
      <c r="K162" s="305"/>
      <c r="L162" s="306"/>
      <c r="M162" s="307"/>
      <c r="N162" s="1"/>
    </row>
    <row r="163" spans="1:14" s="3" customFormat="1" x14ac:dyDescent="0.25">
      <c r="A163" s="46">
        <v>3</v>
      </c>
      <c r="B163" s="295">
        <f t="shared" si="4"/>
        <v>0</v>
      </c>
      <c r="C163" s="296"/>
      <c r="D163" s="64"/>
      <c r="E163" s="64"/>
      <c r="F163" s="64"/>
      <c r="G163" s="309"/>
      <c r="H163" s="309"/>
      <c r="I163" s="309"/>
      <c r="J163" s="309"/>
      <c r="K163" s="305"/>
      <c r="L163" s="306"/>
      <c r="M163" s="307"/>
      <c r="N163" s="1"/>
    </row>
    <row r="164" spans="1:14" s="3" customFormat="1" x14ac:dyDescent="0.25">
      <c r="A164" s="46">
        <v>4</v>
      </c>
      <c r="B164" s="295">
        <f t="shared" si="4"/>
        <v>0</v>
      </c>
      <c r="C164" s="296"/>
      <c r="D164" s="64"/>
      <c r="E164" s="64"/>
      <c r="F164" s="64"/>
      <c r="G164" s="309"/>
      <c r="H164" s="309"/>
      <c r="I164" s="309"/>
      <c r="J164" s="309"/>
      <c r="K164" s="305"/>
      <c r="L164" s="306"/>
      <c r="M164" s="307"/>
      <c r="N164" s="1"/>
    </row>
    <row r="165" spans="1:14" s="3" customFormat="1" x14ac:dyDescent="0.25">
      <c r="A165" s="46">
        <v>5</v>
      </c>
      <c r="B165" s="295">
        <f t="shared" si="4"/>
        <v>0</v>
      </c>
      <c r="C165" s="296"/>
      <c r="D165" s="64"/>
      <c r="E165" s="64"/>
      <c r="F165" s="64"/>
      <c r="G165" s="309"/>
      <c r="H165" s="309"/>
      <c r="I165" s="309"/>
      <c r="J165" s="309"/>
      <c r="K165" s="305"/>
      <c r="L165" s="306"/>
      <c r="M165" s="307"/>
      <c r="N165" s="1"/>
    </row>
    <row r="166" spans="1:14" s="3" customFormat="1" x14ac:dyDescent="0.25">
      <c r="A166" s="46">
        <v>6</v>
      </c>
      <c r="B166" s="295">
        <f t="shared" si="4"/>
        <v>0</v>
      </c>
      <c r="C166" s="296"/>
      <c r="D166" s="64"/>
      <c r="E166" s="64"/>
      <c r="F166" s="64"/>
      <c r="G166" s="309"/>
      <c r="H166" s="309"/>
      <c r="I166" s="309"/>
      <c r="J166" s="309"/>
      <c r="K166" s="305"/>
      <c r="L166" s="306"/>
      <c r="M166" s="307"/>
      <c r="N166" s="1"/>
    </row>
    <row r="167" spans="1:14" s="3" customFormat="1" x14ac:dyDescent="0.25">
      <c r="A167" s="46">
        <v>7</v>
      </c>
      <c r="B167" s="295">
        <f t="shared" si="4"/>
        <v>0</v>
      </c>
      <c r="C167" s="296"/>
      <c r="D167" s="64"/>
      <c r="E167" s="64"/>
      <c r="F167" s="64"/>
      <c r="G167" s="309"/>
      <c r="H167" s="309"/>
      <c r="I167" s="309"/>
      <c r="J167" s="309"/>
      <c r="K167" s="305"/>
      <c r="L167" s="306"/>
      <c r="M167" s="307"/>
      <c r="N167" s="1"/>
    </row>
    <row r="168" spans="1:14" s="3" customFormat="1" x14ac:dyDescent="0.25">
      <c r="A168" s="46">
        <v>8</v>
      </c>
      <c r="B168" s="295">
        <f t="shared" si="4"/>
        <v>0</v>
      </c>
      <c r="C168" s="296"/>
      <c r="D168" s="64"/>
      <c r="E168" s="64"/>
      <c r="F168" s="64"/>
      <c r="G168" s="309"/>
      <c r="H168" s="309"/>
      <c r="I168" s="309"/>
      <c r="J168" s="309"/>
      <c r="K168" s="305"/>
      <c r="L168" s="306"/>
      <c r="M168" s="307"/>
      <c r="N168" s="1"/>
    </row>
    <row r="169" spans="1:14" s="3" customFormat="1" x14ac:dyDescent="0.25">
      <c r="A169" s="46">
        <v>9</v>
      </c>
      <c r="B169" s="295">
        <f t="shared" si="4"/>
        <v>0</v>
      </c>
      <c r="C169" s="296"/>
      <c r="D169" s="64"/>
      <c r="E169" s="64"/>
      <c r="F169" s="64"/>
      <c r="G169" s="309"/>
      <c r="H169" s="309"/>
      <c r="I169" s="309"/>
      <c r="J169" s="309"/>
      <c r="K169" s="305"/>
      <c r="L169" s="306"/>
      <c r="M169" s="307"/>
      <c r="N169" s="1"/>
    </row>
    <row r="170" spans="1:14" s="3" customFormat="1" x14ac:dyDescent="0.25">
      <c r="A170" s="46">
        <v>10</v>
      </c>
      <c r="B170" s="295">
        <f t="shared" si="4"/>
        <v>0</v>
      </c>
      <c r="C170" s="296"/>
      <c r="D170" s="64"/>
      <c r="E170" s="64"/>
      <c r="F170" s="64"/>
      <c r="G170" s="309"/>
      <c r="H170" s="309"/>
      <c r="I170" s="309"/>
      <c r="J170" s="309"/>
      <c r="K170" s="305"/>
      <c r="L170" s="306"/>
      <c r="M170" s="307"/>
      <c r="N170" s="1"/>
    </row>
    <row r="171" spans="1:14" s="3" customFormat="1" x14ac:dyDescent="0.25">
      <c r="A171" s="1"/>
      <c r="B171" s="20"/>
      <c r="C171" s="16"/>
      <c r="D171" s="23"/>
      <c r="E171" s="18"/>
      <c r="F171" s="20"/>
      <c r="G171" s="20"/>
      <c r="H171" s="20"/>
      <c r="I171" s="20"/>
      <c r="J171" s="20"/>
      <c r="K171" s="335"/>
      <c r="L171" s="335"/>
      <c r="M171" s="335"/>
      <c r="N171" s="1"/>
    </row>
    <row r="172" spans="1:14" x14ac:dyDescent="0.25">
      <c r="B172" s="10"/>
      <c r="C172" s="10"/>
      <c r="D172" s="10"/>
      <c r="E172" s="10"/>
      <c r="F172" s="10"/>
      <c r="G172" s="10"/>
      <c r="H172" s="10"/>
      <c r="I172" s="10"/>
      <c r="J172" s="10"/>
      <c r="K172" s="10"/>
      <c r="L172" s="10"/>
      <c r="M172" s="10"/>
      <c r="N172" s="1"/>
    </row>
    <row r="173" spans="1:14" x14ac:dyDescent="0.25">
      <c r="A173" s="12" t="s">
        <v>51</v>
      </c>
      <c r="B173" s="1"/>
      <c r="C173" s="1"/>
      <c r="D173" s="1"/>
      <c r="E173" s="1"/>
      <c r="F173" s="1"/>
      <c r="G173" s="1"/>
      <c r="H173" s="1"/>
      <c r="I173" s="1"/>
      <c r="J173" s="1"/>
      <c r="K173" s="1"/>
      <c r="L173" s="1"/>
      <c r="M173" s="1"/>
      <c r="N173" s="1"/>
    </row>
    <row r="174" spans="1:14" x14ac:dyDescent="0.25">
      <c r="B174" s="1"/>
      <c r="C174" s="1"/>
      <c r="D174" s="1"/>
      <c r="E174" s="1"/>
      <c r="F174" s="1"/>
      <c r="G174" s="1"/>
      <c r="H174" s="1"/>
      <c r="I174" s="1"/>
      <c r="J174" s="1"/>
      <c r="K174" s="1"/>
      <c r="L174" s="1"/>
      <c r="M174" s="1"/>
      <c r="N174" s="1"/>
    </row>
    <row r="175" spans="1:14" ht="57" x14ac:dyDescent="0.25">
      <c r="A175" s="47" t="s">
        <v>4</v>
      </c>
      <c r="B175" s="301" t="s">
        <v>36</v>
      </c>
      <c r="C175" s="302"/>
      <c r="D175" s="55" t="s">
        <v>69</v>
      </c>
      <c r="E175" s="55" t="s">
        <v>5</v>
      </c>
      <c r="F175" s="55" t="s">
        <v>70</v>
      </c>
      <c r="G175" s="301" t="s">
        <v>71</v>
      </c>
      <c r="H175" s="303"/>
      <c r="I175" s="303"/>
      <c r="J175" s="303"/>
      <c r="K175" s="303"/>
      <c r="L175" s="303"/>
      <c r="M175" s="304"/>
      <c r="N175" s="1"/>
    </row>
    <row r="176" spans="1:14" x14ac:dyDescent="0.25">
      <c r="A176" s="46">
        <v>1</v>
      </c>
      <c r="B176" s="295">
        <f>B161</f>
        <v>0</v>
      </c>
      <c r="C176" s="296"/>
      <c r="D176" s="14"/>
      <c r="E176" s="19"/>
      <c r="F176" s="28"/>
      <c r="G176" s="305"/>
      <c r="H176" s="306"/>
      <c r="I176" s="306"/>
      <c r="J176" s="306"/>
      <c r="K176" s="306"/>
      <c r="L176" s="306"/>
      <c r="M176" s="307"/>
      <c r="N176" s="1"/>
    </row>
    <row r="177" spans="1:14" x14ac:dyDescent="0.25">
      <c r="A177" s="46">
        <v>2</v>
      </c>
      <c r="B177" s="295">
        <f t="shared" ref="B177:B185" si="5">B162</f>
        <v>0</v>
      </c>
      <c r="C177" s="296"/>
      <c r="D177" s="14"/>
      <c r="E177" s="31"/>
      <c r="F177" s="31"/>
      <c r="G177" s="305"/>
      <c r="H177" s="306"/>
      <c r="I177" s="306"/>
      <c r="J177" s="306"/>
      <c r="K177" s="306"/>
      <c r="L177" s="306"/>
      <c r="M177" s="307"/>
      <c r="N177" s="1"/>
    </row>
    <row r="178" spans="1:14" x14ac:dyDescent="0.25">
      <c r="A178" s="46">
        <v>3</v>
      </c>
      <c r="B178" s="295">
        <f t="shared" si="5"/>
        <v>0</v>
      </c>
      <c r="C178" s="296"/>
      <c r="D178" s="14"/>
      <c r="E178" s="19"/>
      <c r="F178" s="28"/>
      <c r="G178" s="305"/>
      <c r="H178" s="306"/>
      <c r="I178" s="306"/>
      <c r="J178" s="306"/>
      <c r="K178" s="306"/>
      <c r="L178" s="306"/>
      <c r="M178" s="307"/>
      <c r="N178" s="1"/>
    </row>
    <row r="179" spans="1:14" x14ac:dyDescent="0.25">
      <c r="A179" s="46">
        <v>4</v>
      </c>
      <c r="B179" s="295">
        <f t="shared" si="5"/>
        <v>0</v>
      </c>
      <c r="C179" s="296"/>
      <c r="D179" s="14"/>
      <c r="E179" s="19"/>
      <c r="F179" s="28"/>
      <c r="G179" s="305"/>
      <c r="H179" s="306"/>
      <c r="I179" s="306"/>
      <c r="J179" s="306"/>
      <c r="K179" s="306"/>
      <c r="L179" s="306"/>
      <c r="M179" s="307"/>
      <c r="N179" s="1"/>
    </row>
    <row r="180" spans="1:14" x14ac:dyDescent="0.25">
      <c r="A180" s="46">
        <v>5</v>
      </c>
      <c r="B180" s="295">
        <f t="shared" si="5"/>
        <v>0</v>
      </c>
      <c r="C180" s="296"/>
      <c r="D180" s="14"/>
      <c r="E180" s="19"/>
      <c r="F180" s="28"/>
      <c r="G180" s="305"/>
      <c r="H180" s="306"/>
      <c r="I180" s="306"/>
      <c r="J180" s="306"/>
      <c r="K180" s="306"/>
      <c r="L180" s="306"/>
      <c r="M180" s="307"/>
      <c r="N180" s="1"/>
    </row>
    <row r="181" spans="1:14" s="3" customFormat="1" x14ac:dyDescent="0.25">
      <c r="A181" s="46">
        <v>6</v>
      </c>
      <c r="B181" s="295">
        <f t="shared" si="5"/>
        <v>0</v>
      </c>
      <c r="C181" s="296"/>
      <c r="D181" s="14"/>
      <c r="E181" s="19"/>
      <c r="F181" s="28"/>
      <c r="G181" s="305"/>
      <c r="H181" s="306"/>
      <c r="I181" s="306"/>
      <c r="J181" s="306"/>
      <c r="K181" s="306"/>
      <c r="L181" s="306"/>
      <c r="M181" s="307"/>
      <c r="N181" s="1"/>
    </row>
    <row r="182" spans="1:14" s="3" customFormat="1" x14ac:dyDescent="0.25">
      <c r="A182" s="46">
        <v>7</v>
      </c>
      <c r="B182" s="295">
        <f t="shared" si="5"/>
        <v>0</v>
      </c>
      <c r="C182" s="296"/>
      <c r="D182" s="14"/>
      <c r="E182" s="19"/>
      <c r="F182" s="19"/>
      <c r="G182" s="305"/>
      <c r="H182" s="306"/>
      <c r="I182" s="306"/>
      <c r="J182" s="306"/>
      <c r="K182" s="306"/>
      <c r="L182" s="306"/>
      <c r="M182" s="307"/>
      <c r="N182" s="1"/>
    </row>
    <row r="183" spans="1:14" s="3" customFormat="1" x14ac:dyDescent="0.25">
      <c r="A183" s="46">
        <v>8</v>
      </c>
      <c r="B183" s="295">
        <f t="shared" si="5"/>
        <v>0</v>
      </c>
      <c r="C183" s="296"/>
      <c r="D183" s="14"/>
      <c r="E183" s="19"/>
      <c r="F183" s="28"/>
      <c r="G183" s="305"/>
      <c r="H183" s="306"/>
      <c r="I183" s="306"/>
      <c r="J183" s="306"/>
      <c r="K183" s="306"/>
      <c r="L183" s="306"/>
      <c r="M183" s="307"/>
      <c r="N183" s="1"/>
    </row>
    <row r="184" spans="1:14" x14ac:dyDescent="0.25">
      <c r="A184" s="46">
        <v>9</v>
      </c>
      <c r="B184" s="295">
        <f t="shared" si="5"/>
        <v>0</v>
      </c>
      <c r="C184" s="296"/>
      <c r="D184" s="41"/>
      <c r="E184" s="41"/>
      <c r="F184" s="41"/>
      <c r="G184" s="305"/>
      <c r="H184" s="306"/>
      <c r="I184" s="306"/>
      <c r="J184" s="306"/>
      <c r="K184" s="306"/>
      <c r="L184" s="306"/>
      <c r="M184" s="307"/>
      <c r="N184" s="1"/>
    </row>
    <row r="185" spans="1:14" s="3" customFormat="1" x14ac:dyDescent="0.25">
      <c r="A185" s="46">
        <v>10</v>
      </c>
      <c r="B185" s="295">
        <f t="shared" si="5"/>
        <v>0</v>
      </c>
      <c r="C185" s="296"/>
      <c r="D185" s="41"/>
      <c r="E185" s="41"/>
      <c r="F185" s="41"/>
      <c r="G185" s="305"/>
      <c r="H185" s="306"/>
      <c r="I185" s="306"/>
      <c r="J185" s="306"/>
      <c r="K185" s="306"/>
      <c r="L185" s="306"/>
      <c r="M185" s="307"/>
      <c r="N185" s="1"/>
    </row>
    <row r="186" spans="1:14" x14ac:dyDescent="0.25">
      <c r="B186" s="20"/>
      <c r="C186" s="21"/>
      <c r="D186" s="21"/>
      <c r="E186" s="21"/>
      <c r="F186" s="21"/>
      <c r="G186" s="20"/>
      <c r="H186" s="20"/>
      <c r="I186" s="20"/>
      <c r="J186" s="20"/>
      <c r="K186" s="335"/>
      <c r="L186" s="335"/>
      <c r="M186" s="335"/>
      <c r="N186" s="1"/>
    </row>
    <row r="187" spans="1:14" s="3" customFormat="1" x14ac:dyDescent="0.25">
      <c r="A187" s="1"/>
      <c r="B187" s="17"/>
      <c r="C187" s="20"/>
      <c r="D187" s="17"/>
      <c r="E187" s="29"/>
      <c r="F187" s="17"/>
      <c r="G187" s="20"/>
      <c r="H187" s="20"/>
      <c r="I187" s="20"/>
      <c r="J187" s="17"/>
      <c r="K187" s="22"/>
      <c r="L187" s="54"/>
      <c r="M187" s="22"/>
      <c r="N187" s="1"/>
    </row>
    <row r="188" spans="1:14" s="3" customFormat="1" x14ac:dyDescent="0.25">
      <c r="A188" s="12" t="s">
        <v>338</v>
      </c>
      <c r="B188" s="17"/>
      <c r="C188" s="20"/>
      <c r="D188" s="17"/>
      <c r="E188" s="29"/>
      <c r="F188" s="17"/>
      <c r="G188" s="20"/>
      <c r="H188" s="20"/>
      <c r="I188" s="20"/>
      <c r="J188" s="17"/>
      <c r="K188" s="22"/>
      <c r="L188" s="54"/>
      <c r="M188" s="22"/>
      <c r="N188" s="1"/>
    </row>
    <row r="189" spans="1:14" s="3" customFormat="1" x14ac:dyDescent="0.25">
      <c r="A189" s="12"/>
      <c r="B189" s="17"/>
      <c r="C189" s="20"/>
      <c r="D189" s="17"/>
      <c r="E189" s="29"/>
      <c r="F189" s="17"/>
      <c r="G189" s="20"/>
      <c r="H189" s="20"/>
      <c r="I189" s="20"/>
      <c r="J189" s="17"/>
      <c r="K189" s="65"/>
      <c r="L189" s="65"/>
      <c r="M189" s="22"/>
      <c r="N189" s="1"/>
    </row>
    <row r="190" spans="1:14" s="3" customFormat="1" ht="84.75" customHeight="1" x14ac:dyDescent="0.25">
      <c r="A190" s="47" t="s">
        <v>4</v>
      </c>
      <c r="B190" s="301" t="s">
        <v>36</v>
      </c>
      <c r="C190" s="302"/>
      <c r="D190" s="99" t="s">
        <v>77</v>
      </c>
      <c r="E190" s="99" t="s">
        <v>78</v>
      </c>
      <c r="F190" s="297" t="s">
        <v>79</v>
      </c>
      <c r="G190" s="298"/>
      <c r="H190" s="299" t="s">
        <v>80</v>
      </c>
      <c r="I190" s="300"/>
      <c r="J190" s="42"/>
      <c r="K190" s="66"/>
      <c r="L190" s="66"/>
      <c r="M190" s="22"/>
      <c r="N190" s="1"/>
    </row>
    <row r="191" spans="1:14" s="3" customFormat="1" x14ac:dyDescent="0.25">
      <c r="A191" s="46">
        <v>1</v>
      </c>
      <c r="B191" s="295">
        <f>B176</f>
        <v>0</v>
      </c>
      <c r="C191" s="296"/>
      <c r="D191" s="28"/>
      <c r="E191" s="31"/>
      <c r="F191" s="293"/>
      <c r="G191" s="294"/>
      <c r="H191" s="293"/>
      <c r="I191" s="294"/>
      <c r="J191" s="17"/>
      <c r="K191" s="66"/>
      <c r="L191" s="66"/>
      <c r="M191" s="22"/>
      <c r="N191" s="1"/>
    </row>
    <row r="192" spans="1:14" s="3" customFormat="1" x14ac:dyDescent="0.25">
      <c r="A192" s="46">
        <v>2</v>
      </c>
      <c r="B192" s="295">
        <f t="shared" ref="B192:B200" si="6">B178</f>
        <v>0</v>
      </c>
      <c r="C192" s="296"/>
      <c r="D192" s="28"/>
      <c r="E192" s="31"/>
      <c r="F192" s="293"/>
      <c r="G192" s="294"/>
      <c r="H192" s="293"/>
      <c r="I192" s="294"/>
      <c r="J192" s="17"/>
      <c r="K192" s="65"/>
      <c r="L192" s="65"/>
      <c r="M192" s="22"/>
      <c r="N192" s="1"/>
    </row>
    <row r="193" spans="1:14" s="3" customFormat="1" x14ac:dyDescent="0.25">
      <c r="A193" s="46">
        <v>3</v>
      </c>
      <c r="B193" s="295">
        <f t="shared" si="6"/>
        <v>0</v>
      </c>
      <c r="C193" s="296"/>
      <c r="D193" s="28"/>
      <c r="E193" s="31"/>
      <c r="F193" s="293"/>
      <c r="G193" s="294"/>
      <c r="H193" s="293"/>
      <c r="I193" s="294"/>
      <c r="J193" s="17"/>
      <c r="K193" s="22"/>
      <c r="L193" s="54"/>
      <c r="M193" s="22"/>
      <c r="N193" s="1"/>
    </row>
    <row r="194" spans="1:14" s="3" customFormat="1" x14ac:dyDescent="0.25">
      <c r="A194" s="46">
        <v>4</v>
      </c>
      <c r="B194" s="295">
        <f t="shared" si="6"/>
        <v>0</v>
      </c>
      <c r="C194" s="296"/>
      <c r="D194" s="28"/>
      <c r="E194" s="31"/>
      <c r="F194" s="293"/>
      <c r="G194" s="294"/>
      <c r="H194" s="293"/>
      <c r="I194" s="294"/>
      <c r="J194" s="17"/>
      <c r="K194" s="22"/>
      <c r="L194" s="54"/>
      <c r="M194" s="22"/>
      <c r="N194" s="1"/>
    </row>
    <row r="195" spans="1:14" s="3" customFormat="1" x14ac:dyDescent="0.25">
      <c r="A195" s="46">
        <v>5</v>
      </c>
      <c r="B195" s="295">
        <f t="shared" si="6"/>
        <v>0</v>
      </c>
      <c r="C195" s="296"/>
      <c r="D195" s="28"/>
      <c r="E195" s="31"/>
      <c r="F195" s="293"/>
      <c r="G195" s="294"/>
      <c r="H195" s="293"/>
      <c r="I195" s="294"/>
      <c r="J195" s="17"/>
      <c r="K195" s="22"/>
      <c r="L195" s="54"/>
      <c r="M195" s="22"/>
      <c r="N195" s="1"/>
    </row>
    <row r="196" spans="1:14" s="3" customFormat="1" x14ac:dyDescent="0.25">
      <c r="A196" s="46">
        <v>6</v>
      </c>
      <c r="B196" s="295">
        <f t="shared" si="6"/>
        <v>0</v>
      </c>
      <c r="C196" s="296"/>
      <c r="D196" s="28"/>
      <c r="E196" s="31"/>
      <c r="F196" s="293"/>
      <c r="G196" s="294"/>
      <c r="H196" s="293"/>
      <c r="I196" s="294"/>
      <c r="J196" s="17"/>
      <c r="K196" s="22"/>
      <c r="L196" s="54"/>
      <c r="M196" s="22"/>
      <c r="N196" s="1"/>
    </row>
    <row r="197" spans="1:14" s="3" customFormat="1" x14ac:dyDescent="0.25">
      <c r="A197" s="46">
        <v>7</v>
      </c>
      <c r="B197" s="295">
        <f t="shared" si="6"/>
        <v>0</v>
      </c>
      <c r="C197" s="296"/>
      <c r="D197" s="28"/>
      <c r="E197" s="31"/>
      <c r="F197" s="293"/>
      <c r="G197" s="294"/>
      <c r="H197" s="293"/>
      <c r="I197" s="294"/>
      <c r="J197" s="17"/>
      <c r="K197" s="22"/>
      <c r="L197" s="54"/>
      <c r="M197" s="22"/>
      <c r="N197" s="1"/>
    </row>
    <row r="198" spans="1:14" s="3" customFormat="1" x14ac:dyDescent="0.25">
      <c r="A198" s="46">
        <v>8</v>
      </c>
      <c r="B198" s="295">
        <f t="shared" si="6"/>
        <v>0</v>
      </c>
      <c r="C198" s="296"/>
      <c r="D198" s="28"/>
      <c r="E198" s="31"/>
      <c r="F198" s="293"/>
      <c r="G198" s="294"/>
      <c r="H198" s="293"/>
      <c r="I198" s="294"/>
      <c r="J198" s="17"/>
      <c r="K198" s="22"/>
      <c r="L198" s="54"/>
      <c r="M198" s="22"/>
      <c r="N198" s="1"/>
    </row>
    <row r="199" spans="1:14" s="3" customFormat="1" x14ac:dyDescent="0.25">
      <c r="A199" s="46">
        <v>9</v>
      </c>
      <c r="B199" s="295">
        <f t="shared" si="6"/>
        <v>0</v>
      </c>
      <c r="C199" s="296"/>
      <c r="D199" s="28"/>
      <c r="E199" s="31"/>
      <c r="F199" s="293"/>
      <c r="G199" s="294"/>
      <c r="H199" s="293"/>
      <c r="I199" s="294"/>
      <c r="J199" s="17"/>
      <c r="K199" s="22"/>
      <c r="L199" s="54"/>
      <c r="M199" s="22"/>
      <c r="N199" s="1"/>
    </row>
    <row r="200" spans="1:14" s="3" customFormat="1" x14ac:dyDescent="0.25">
      <c r="A200" s="46">
        <v>10</v>
      </c>
      <c r="B200" s="295">
        <f t="shared" si="6"/>
        <v>0</v>
      </c>
      <c r="C200" s="296"/>
      <c r="D200" s="28"/>
      <c r="E200" s="31"/>
      <c r="F200" s="293"/>
      <c r="G200" s="294"/>
      <c r="H200" s="293"/>
      <c r="I200" s="294"/>
      <c r="J200" s="17"/>
      <c r="K200" s="22"/>
      <c r="L200" s="54"/>
      <c r="M200" s="22"/>
      <c r="N200" s="1"/>
    </row>
    <row r="201" spans="1:14" s="3" customFormat="1" x14ac:dyDescent="0.25">
      <c r="A201" s="12"/>
      <c r="B201" s="17"/>
      <c r="C201" s="20"/>
      <c r="D201" s="17"/>
      <c r="E201" s="29"/>
      <c r="F201" s="17"/>
      <c r="G201" s="20"/>
      <c r="H201" s="20"/>
      <c r="I201" s="20"/>
      <c r="J201" s="17"/>
      <c r="K201" s="22"/>
      <c r="L201" s="54"/>
      <c r="M201" s="22"/>
      <c r="N201" s="1"/>
    </row>
    <row r="202" spans="1:14" s="3" customFormat="1" x14ac:dyDescent="0.25">
      <c r="A202" s="12"/>
      <c r="B202" s="17"/>
      <c r="C202" s="20"/>
      <c r="D202" s="17"/>
      <c r="E202" s="29"/>
      <c r="F202" s="17"/>
      <c r="G202" s="20"/>
      <c r="H202" s="20"/>
      <c r="I202" s="20"/>
      <c r="J202" s="17"/>
      <c r="K202" s="22"/>
      <c r="L202" s="54"/>
      <c r="M202" s="22"/>
      <c r="N202" s="1"/>
    </row>
    <row r="203" spans="1:14" s="3" customFormat="1" ht="15.75" thickBot="1" x14ac:dyDescent="0.3">
      <c r="A203" s="1"/>
      <c r="B203" s="17"/>
      <c r="C203" s="20"/>
      <c r="D203" s="17"/>
      <c r="E203" s="29"/>
      <c r="F203" s="17"/>
      <c r="G203" s="20"/>
      <c r="H203" s="20"/>
      <c r="I203" s="20"/>
      <c r="J203" s="17"/>
      <c r="K203" s="22"/>
      <c r="L203" s="54"/>
      <c r="M203" s="22"/>
      <c r="N203" s="1"/>
    </row>
    <row r="204" spans="1:14" ht="16.5" thickTop="1" thickBot="1" x14ac:dyDescent="0.3">
      <c r="B204" s="39"/>
    </row>
    <row r="205" spans="1:14" ht="16.5" thickTop="1" thickBot="1" x14ac:dyDescent="0.3">
      <c r="B205" s="40"/>
    </row>
    <row r="206" spans="1:14" ht="16.5" thickTop="1" thickBot="1" x14ac:dyDescent="0.3">
      <c r="B206" s="40"/>
    </row>
    <row r="207" spans="1:14" ht="16.5" thickTop="1" thickBot="1" x14ac:dyDescent="0.3">
      <c r="B207" s="40"/>
    </row>
    <row r="208" spans="1:14" ht="16.5" thickTop="1" thickBot="1" x14ac:dyDescent="0.3">
      <c r="B208" s="40"/>
    </row>
    <row r="209" spans="2:2" ht="16.5" thickTop="1" thickBot="1" x14ac:dyDescent="0.3">
      <c r="B209" s="40"/>
    </row>
    <row r="210" spans="2:2" ht="16.5" thickTop="1" thickBot="1" x14ac:dyDescent="0.3">
      <c r="B210" s="40"/>
    </row>
    <row r="211" spans="2:2" ht="16.5" thickTop="1" thickBot="1" x14ac:dyDescent="0.3">
      <c r="B211" s="40"/>
    </row>
    <row r="212" spans="2:2" ht="16.5" thickTop="1" thickBot="1" x14ac:dyDescent="0.3">
      <c r="B212" s="40"/>
    </row>
    <row r="213" spans="2:2" ht="16.5" thickTop="1" thickBot="1" x14ac:dyDescent="0.3">
      <c r="B213" s="40"/>
    </row>
    <row r="214" spans="2:2" ht="15.75" thickTop="1" x14ac:dyDescent="0.25"/>
  </sheetData>
  <mergeCells count="402">
    <mergeCell ref="H106:I106"/>
    <mergeCell ref="H91:I91"/>
    <mergeCell ref="H92:I92"/>
    <mergeCell ref="H93:I93"/>
    <mergeCell ref="H97:I97"/>
    <mergeCell ref="H98:I98"/>
    <mergeCell ref="H99:I99"/>
    <mergeCell ref="H100:I100"/>
    <mergeCell ref="H101:I101"/>
    <mergeCell ref="H102:I102"/>
    <mergeCell ref="H94:I94"/>
    <mergeCell ref="H95:I95"/>
    <mergeCell ref="H96:I96"/>
    <mergeCell ref="H121:I121"/>
    <mergeCell ref="H122:I122"/>
    <mergeCell ref="H123:I123"/>
    <mergeCell ref="C103:D103"/>
    <mergeCell ref="C104:D104"/>
    <mergeCell ref="C105:D105"/>
    <mergeCell ref="C106:D106"/>
    <mergeCell ref="F91:G91"/>
    <mergeCell ref="F92:G92"/>
    <mergeCell ref="F93:G93"/>
    <mergeCell ref="F97:G97"/>
    <mergeCell ref="F98:G98"/>
    <mergeCell ref="F99:G99"/>
    <mergeCell ref="F100:G100"/>
    <mergeCell ref="F101:G101"/>
    <mergeCell ref="F102:G102"/>
    <mergeCell ref="F103:G103"/>
    <mergeCell ref="F104:G104"/>
    <mergeCell ref="F105:G105"/>
    <mergeCell ref="F106:G106"/>
    <mergeCell ref="C91:D91"/>
    <mergeCell ref="C92:D92"/>
    <mergeCell ref="C93:D93"/>
    <mergeCell ref="H104:I104"/>
    <mergeCell ref="G112:H112"/>
    <mergeCell ref="H119:I119"/>
    <mergeCell ref="F116:G116"/>
    <mergeCell ref="H116:I116"/>
    <mergeCell ref="F117:G117"/>
    <mergeCell ref="H117:I117"/>
    <mergeCell ref="H118:I118"/>
    <mergeCell ref="J113:K113"/>
    <mergeCell ref="L113:M113"/>
    <mergeCell ref="J114:K114"/>
    <mergeCell ref="J115:K115"/>
    <mergeCell ref="F113:G113"/>
    <mergeCell ref="F118:G118"/>
    <mergeCell ref="J117:K117"/>
    <mergeCell ref="J116:K116"/>
    <mergeCell ref="L114:M114"/>
    <mergeCell ref="L115:M115"/>
    <mergeCell ref="L116:M116"/>
    <mergeCell ref="L117:M117"/>
    <mergeCell ref="B116:C116"/>
    <mergeCell ref="B117:C117"/>
    <mergeCell ref="B118:C118"/>
    <mergeCell ref="I134:J134"/>
    <mergeCell ref="I135:J135"/>
    <mergeCell ref="I136:J136"/>
    <mergeCell ref="I137:J137"/>
    <mergeCell ref="L130:M130"/>
    <mergeCell ref="L131:M131"/>
    <mergeCell ref="L132:M132"/>
    <mergeCell ref="L133:M133"/>
    <mergeCell ref="L134:M134"/>
    <mergeCell ref="L135:M135"/>
    <mergeCell ref="L136:M136"/>
    <mergeCell ref="F46:H46"/>
    <mergeCell ref="I46:M46"/>
    <mergeCell ref="B48:C48"/>
    <mergeCell ref="D48:E48"/>
    <mergeCell ref="L137:M137"/>
    <mergeCell ref="L138:M138"/>
    <mergeCell ref="L123:M123"/>
    <mergeCell ref="J122:K122"/>
    <mergeCell ref="J121:K121"/>
    <mergeCell ref="J123:K123"/>
    <mergeCell ref="J120:K120"/>
    <mergeCell ref="J119:K119"/>
    <mergeCell ref="J118:K118"/>
    <mergeCell ref="L118:M118"/>
    <mergeCell ref="L119:M119"/>
    <mergeCell ref="L120:M120"/>
    <mergeCell ref="L121:M121"/>
    <mergeCell ref="L122:M122"/>
    <mergeCell ref="K126:M126"/>
    <mergeCell ref="K124:M124"/>
    <mergeCell ref="I130:J130"/>
    <mergeCell ref="I131:J131"/>
    <mergeCell ref="I132:J132"/>
    <mergeCell ref="I133:J133"/>
    <mergeCell ref="H87:I87"/>
    <mergeCell ref="H88:I88"/>
    <mergeCell ref="H89:I89"/>
    <mergeCell ref="H86:I86"/>
    <mergeCell ref="H90:I90"/>
    <mergeCell ref="B1:M1"/>
    <mergeCell ref="E8:I8"/>
    <mergeCell ref="E9:I9"/>
    <mergeCell ref="B2:M2"/>
    <mergeCell ref="B4:M4"/>
    <mergeCell ref="F78:G78"/>
    <mergeCell ref="H78:I78"/>
    <mergeCell ref="B45:C45"/>
    <mergeCell ref="D45:E45"/>
    <mergeCell ref="B46:C46"/>
    <mergeCell ref="D46:E46"/>
    <mergeCell ref="F45:H45"/>
    <mergeCell ref="I45:M45"/>
    <mergeCell ref="B47:C47"/>
    <mergeCell ref="D47:E47"/>
    <mergeCell ref="D50:E50"/>
    <mergeCell ref="B51:C51"/>
    <mergeCell ref="D51:E51"/>
    <mergeCell ref="B52:C52"/>
    <mergeCell ref="C96:D96"/>
    <mergeCell ref="F79:G79"/>
    <mergeCell ref="F80:G80"/>
    <mergeCell ref="F95:G95"/>
    <mergeCell ref="F96:G96"/>
    <mergeCell ref="C94:D94"/>
    <mergeCell ref="F94:G94"/>
    <mergeCell ref="C87:D87"/>
    <mergeCell ref="F87:G87"/>
    <mergeCell ref="C88:D88"/>
    <mergeCell ref="F88:G88"/>
    <mergeCell ref="C89:D89"/>
    <mergeCell ref="F89:G89"/>
    <mergeCell ref="C86:D86"/>
    <mergeCell ref="F86:G86"/>
    <mergeCell ref="C90:D90"/>
    <mergeCell ref="F90:G90"/>
    <mergeCell ref="C81:D81"/>
    <mergeCell ref="F81:G81"/>
    <mergeCell ref="C82:D82"/>
    <mergeCell ref="F82:G82"/>
    <mergeCell ref="C79:D79"/>
    <mergeCell ref="C80:D80"/>
    <mergeCell ref="C95:D95"/>
    <mergeCell ref="K186:M186"/>
    <mergeCell ref="K169:M169"/>
    <mergeCell ref="K167:M167"/>
    <mergeCell ref="K171:M171"/>
    <mergeCell ref="G144:H144"/>
    <mergeCell ref="G155:H155"/>
    <mergeCell ref="K141:M141"/>
    <mergeCell ref="I139:J139"/>
    <mergeCell ref="I140:J140"/>
    <mergeCell ref="L139:M139"/>
    <mergeCell ref="L140:M140"/>
    <mergeCell ref="I168:J168"/>
    <mergeCell ref="I169:J169"/>
    <mergeCell ref="I170:J170"/>
    <mergeCell ref="K162:M162"/>
    <mergeCell ref="K163:M163"/>
    <mergeCell ref="K164:M164"/>
    <mergeCell ref="K166:M166"/>
    <mergeCell ref="K168:M168"/>
    <mergeCell ref="K170:M170"/>
    <mergeCell ref="G163:H163"/>
    <mergeCell ref="G168:H168"/>
    <mergeCell ref="G169:H169"/>
    <mergeCell ref="G170:H170"/>
    <mergeCell ref="F47:H47"/>
    <mergeCell ref="I47:M47"/>
    <mergeCell ref="B49:C49"/>
    <mergeCell ref="D49:E49"/>
    <mergeCell ref="F48:H48"/>
    <mergeCell ref="I48:M48"/>
    <mergeCell ref="B65:C65"/>
    <mergeCell ref="B66:C66"/>
    <mergeCell ref="B67:C67"/>
    <mergeCell ref="F65:G65"/>
    <mergeCell ref="F66:G66"/>
    <mergeCell ref="F67:G67"/>
    <mergeCell ref="K60:M60"/>
    <mergeCell ref="K61:M61"/>
    <mergeCell ref="K62:M62"/>
    <mergeCell ref="K63:M63"/>
    <mergeCell ref="K64:M64"/>
    <mergeCell ref="K65:M65"/>
    <mergeCell ref="K66:M66"/>
    <mergeCell ref="K67:M67"/>
    <mergeCell ref="D52:E52"/>
    <mergeCell ref="B68:C68"/>
    <mergeCell ref="B69:C69"/>
    <mergeCell ref="I49:M49"/>
    <mergeCell ref="I50:M50"/>
    <mergeCell ref="I51:M51"/>
    <mergeCell ref="I52:M52"/>
    <mergeCell ref="I53:M53"/>
    <mergeCell ref="I54:M54"/>
    <mergeCell ref="I55:M55"/>
    <mergeCell ref="B63:C63"/>
    <mergeCell ref="B64:C64"/>
    <mergeCell ref="B60:C60"/>
    <mergeCell ref="B61:C61"/>
    <mergeCell ref="B62:C62"/>
    <mergeCell ref="B53:C53"/>
    <mergeCell ref="D53:E53"/>
    <mergeCell ref="B54:C54"/>
    <mergeCell ref="D54:E54"/>
    <mergeCell ref="B55:C55"/>
    <mergeCell ref="D55:E55"/>
    <mergeCell ref="B50:C50"/>
    <mergeCell ref="F62:G62"/>
    <mergeCell ref="F63:G63"/>
    <mergeCell ref="F64:G64"/>
    <mergeCell ref="F68:G68"/>
    <mergeCell ref="F69:G69"/>
    <mergeCell ref="F70:G70"/>
    <mergeCell ref="F60:G60"/>
    <mergeCell ref="F49:H49"/>
    <mergeCell ref="F50:H50"/>
    <mergeCell ref="F51:H51"/>
    <mergeCell ref="F52:H52"/>
    <mergeCell ref="F53:H53"/>
    <mergeCell ref="F54:H54"/>
    <mergeCell ref="F55:H55"/>
    <mergeCell ref="F61:G61"/>
    <mergeCell ref="H69:J69"/>
    <mergeCell ref="H70:J70"/>
    <mergeCell ref="K68:M68"/>
    <mergeCell ref="K69:M69"/>
    <mergeCell ref="H60:J60"/>
    <mergeCell ref="H61:J61"/>
    <mergeCell ref="H62:J62"/>
    <mergeCell ref="H63:J63"/>
    <mergeCell ref="H64:J64"/>
    <mergeCell ref="H65:J65"/>
    <mergeCell ref="H66:J66"/>
    <mergeCell ref="H67:J67"/>
    <mergeCell ref="H68:J68"/>
    <mergeCell ref="K70:M70"/>
    <mergeCell ref="C83:D83"/>
    <mergeCell ref="F83:G83"/>
    <mergeCell ref="H83:I83"/>
    <mergeCell ref="C84:D84"/>
    <mergeCell ref="F84:G84"/>
    <mergeCell ref="H84:I84"/>
    <mergeCell ref="C85:D85"/>
    <mergeCell ref="F85:G85"/>
    <mergeCell ref="H85:I85"/>
    <mergeCell ref="B70:C70"/>
    <mergeCell ref="C78:D78"/>
    <mergeCell ref="H79:I79"/>
    <mergeCell ref="H80:I80"/>
    <mergeCell ref="H81:I81"/>
    <mergeCell ref="H82:I82"/>
    <mergeCell ref="C101:D101"/>
    <mergeCell ref="C102:D102"/>
    <mergeCell ref="C97:D97"/>
    <mergeCell ref="C98:D98"/>
    <mergeCell ref="C99:D99"/>
    <mergeCell ref="C100:D100"/>
    <mergeCell ref="H103:I103"/>
    <mergeCell ref="B119:C119"/>
    <mergeCell ref="B120:C120"/>
    <mergeCell ref="C108:D108"/>
    <mergeCell ref="F107:G107"/>
    <mergeCell ref="H107:I107"/>
    <mergeCell ref="B113:C113"/>
    <mergeCell ref="B114:C114"/>
    <mergeCell ref="B115:C115"/>
    <mergeCell ref="F108:G108"/>
    <mergeCell ref="H108:I108"/>
    <mergeCell ref="H113:I113"/>
    <mergeCell ref="F114:G114"/>
    <mergeCell ref="H114:I114"/>
    <mergeCell ref="F115:G115"/>
    <mergeCell ref="H115:I115"/>
    <mergeCell ref="H120:I120"/>
    <mergeCell ref="H105:I105"/>
    <mergeCell ref="B121:C121"/>
    <mergeCell ref="B122:C122"/>
    <mergeCell ref="B123:C123"/>
    <mergeCell ref="F119:G119"/>
    <mergeCell ref="F120:G120"/>
    <mergeCell ref="F121:G121"/>
    <mergeCell ref="F122:G122"/>
    <mergeCell ref="F123:G123"/>
    <mergeCell ref="B130:C130"/>
    <mergeCell ref="B131:C131"/>
    <mergeCell ref="B132:C132"/>
    <mergeCell ref="B133:C133"/>
    <mergeCell ref="B134:C134"/>
    <mergeCell ref="B135:C135"/>
    <mergeCell ref="B136:C136"/>
    <mergeCell ref="B137:C137"/>
    <mergeCell ref="B138:C138"/>
    <mergeCell ref="F130:G130"/>
    <mergeCell ref="F131:G131"/>
    <mergeCell ref="F132:G132"/>
    <mergeCell ref="F133:G133"/>
    <mergeCell ref="F134:G134"/>
    <mergeCell ref="F135:G135"/>
    <mergeCell ref="F136:G136"/>
    <mergeCell ref="F137:G137"/>
    <mergeCell ref="F138:G138"/>
    <mergeCell ref="I138:J138"/>
    <mergeCell ref="B145:C145"/>
    <mergeCell ref="B146:C146"/>
    <mergeCell ref="B147:C147"/>
    <mergeCell ref="B148:C148"/>
    <mergeCell ref="B149:C149"/>
    <mergeCell ref="B150:C150"/>
    <mergeCell ref="B151:C151"/>
    <mergeCell ref="B152:C152"/>
    <mergeCell ref="B139:C139"/>
    <mergeCell ref="B140:C140"/>
    <mergeCell ref="F139:G139"/>
    <mergeCell ref="F140:G140"/>
    <mergeCell ref="B153:C153"/>
    <mergeCell ref="B154:C154"/>
    <mergeCell ref="B155:C155"/>
    <mergeCell ref="B160:C160"/>
    <mergeCell ref="B161:C161"/>
    <mergeCell ref="B162:C162"/>
    <mergeCell ref="B163:C163"/>
    <mergeCell ref="B164:C164"/>
    <mergeCell ref="B165:C165"/>
    <mergeCell ref="K160:M160"/>
    <mergeCell ref="G161:H161"/>
    <mergeCell ref="G162:H162"/>
    <mergeCell ref="G164:H164"/>
    <mergeCell ref="G165:H165"/>
    <mergeCell ref="G166:H166"/>
    <mergeCell ref="G167:H167"/>
    <mergeCell ref="K165:M165"/>
    <mergeCell ref="K161:M161"/>
    <mergeCell ref="I161:J161"/>
    <mergeCell ref="I162:J162"/>
    <mergeCell ref="I163:J163"/>
    <mergeCell ref="I164:J164"/>
    <mergeCell ref="I165:J165"/>
    <mergeCell ref="I166:J166"/>
    <mergeCell ref="I167:J167"/>
    <mergeCell ref="G160:H160"/>
    <mergeCell ref="I160:J160"/>
    <mergeCell ref="B176:C176"/>
    <mergeCell ref="B177:C177"/>
    <mergeCell ref="B178:C178"/>
    <mergeCell ref="B179:C179"/>
    <mergeCell ref="B180:C180"/>
    <mergeCell ref="B181:C181"/>
    <mergeCell ref="B182:C182"/>
    <mergeCell ref="B183:C183"/>
    <mergeCell ref="B167:C167"/>
    <mergeCell ref="B168:C168"/>
    <mergeCell ref="B169:C169"/>
    <mergeCell ref="B170:C170"/>
    <mergeCell ref="H199:I199"/>
    <mergeCell ref="B166:C166"/>
    <mergeCell ref="B190:C190"/>
    <mergeCell ref="B191:C191"/>
    <mergeCell ref="B192:C192"/>
    <mergeCell ref="B193:C193"/>
    <mergeCell ref="B194:C194"/>
    <mergeCell ref="B195:C195"/>
    <mergeCell ref="B196:C196"/>
    <mergeCell ref="B197:C197"/>
    <mergeCell ref="B184:C184"/>
    <mergeCell ref="B185:C185"/>
    <mergeCell ref="G175:M175"/>
    <mergeCell ref="G176:M176"/>
    <mergeCell ref="G177:M177"/>
    <mergeCell ref="G178:M178"/>
    <mergeCell ref="G179:M179"/>
    <mergeCell ref="G180:M180"/>
    <mergeCell ref="G181:M181"/>
    <mergeCell ref="G182:M182"/>
    <mergeCell ref="G183:M183"/>
    <mergeCell ref="G184:M184"/>
    <mergeCell ref="G185:M185"/>
    <mergeCell ref="B175:C175"/>
    <mergeCell ref="F200:G200"/>
    <mergeCell ref="B198:C198"/>
    <mergeCell ref="H200:I200"/>
    <mergeCell ref="B199:C199"/>
    <mergeCell ref="B200:C200"/>
    <mergeCell ref="F190:G190"/>
    <mergeCell ref="H190:I190"/>
    <mergeCell ref="H191:I191"/>
    <mergeCell ref="F191:G191"/>
    <mergeCell ref="F192:G192"/>
    <mergeCell ref="H192:I192"/>
    <mergeCell ref="F193:G193"/>
    <mergeCell ref="H193:I193"/>
    <mergeCell ref="F194:G194"/>
    <mergeCell ref="H194:I194"/>
    <mergeCell ref="F195:G195"/>
    <mergeCell ref="H195:I195"/>
    <mergeCell ref="F196:G196"/>
    <mergeCell ref="H196:I196"/>
    <mergeCell ref="F197:G197"/>
    <mergeCell ref="H197:I197"/>
    <mergeCell ref="F198:G198"/>
    <mergeCell ref="H198:I198"/>
    <mergeCell ref="F199:G199"/>
  </mergeCells>
  <dataValidations count="7">
    <dataValidation type="list" allowBlank="1" showInputMessage="1" showErrorMessage="1" sqref="D61:G70 D114:F123 D191:I200 F131:G140 L114:L123 D176:D185 H114:J123 K131:L140 D146:E155">
      <formula1>"SI,NO"</formula1>
    </dataValidation>
    <dataValidation type="list" allowBlank="1" showInputMessage="1" showErrorMessage="1" sqref="H61:J70">
      <formula1>"Muy claro,Claro,Mediano,Oscuro"</formula1>
    </dataValidation>
    <dataValidation type="list" allowBlank="1" showInputMessage="1" showErrorMessage="1" sqref="K61:M70">
      <formula1>"Claro, Mediano, Ópaco"</formula1>
    </dataValidation>
    <dataValidation type="list" allowBlank="1" showInputMessage="1" showErrorMessage="1" sqref="F79:G108">
      <formula1>"Incandescente,Halógena,Fluorescente compacta (LFC),T 12,T 8,T 5,Aditivos metálicos,Vapor de sodio a alta presión, Vapor de sodio a baja presión,Vapor de mercurio a alta presión,Inducción magnética"</formula1>
    </dataValidation>
    <dataValidation type="list" allowBlank="1" showInputMessage="1" showErrorMessage="1" sqref="K79:K108">
      <formula1>"Electromagnético,Electrónico"</formula1>
    </dataValidation>
    <dataValidation type="list" allowBlank="1" showInputMessage="1" showErrorMessage="1" sqref="D131:D140">
      <formula1>"Muy limpio,Limpio,Medio,Sucio,Muy sucio"</formula1>
    </dataValidation>
    <dataValidation type="list" allowBlank="1" showInputMessage="1" showErrorMessage="1" sqref="C79:D106 C108:D108">
      <formula1>"Colgante,Empotrada,Portátil,Sobrepuestas,Exterior,Otro"</formula1>
    </dataValidation>
  </dataValidations>
  <pageMargins left="0.25" right="0.25" top="1.59375" bottom="0.75" header="0.3" footer="0.3"/>
  <pageSetup scale="59" fitToHeight="0" orientation="portrait" r:id="rId1"/>
  <headerFooter>
    <oddHeader>&amp;C&amp;G&amp;R&amp;"Arial,Negrita Cursiva"ILUMINACIÓN</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3"/>
  <sheetViews>
    <sheetView workbookViewId="0">
      <selection activeCell="E14" sqref="E14"/>
    </sheetView>
  </sheetViews>
  <sheetFormatPr baseColWidth="10" defaultRowHeight="15" x14ac:dyDescent="0.25"/>
  <cols>
    <col min="2" max="2" width="36.5703125" customWidth="1"/>
    <col min="3" max="3" width="19.5703125" customWidth="1"/>
  </cols>
  <sheetData>
    <row r="2" spans="2:3" ht="17.25" x14ac:dyDescent="0.25">
      <c r="B2" s="78" t="s">
        <v>90</v>
      </c>
      <c r="C2" s="78" t="s">
        <v>91</v>
      </c>
    </row>
    <row r="3" spans="2:3" x14ac:dyDescent="0.25">
      <c r="B3" s="79" t="s">
        <v>92</v>
      </c>
      <c r="C3" s="80">
        <v>12</v>
      </c>
    </row>
    <row r="4" spans="2:3" x14ac:dyDescent="0.25">
      <c r="B4" s="79" t="s">
        <v>93</v>
      </c>
      <c r="C4" s="80">
        <v>14</v>
      </c>
    </row>
    <row r="5" spans="2:3" x14ac:dyDescent="0.25">
      <c r="B5" s="79" t="s">
        <v>94</v>
      </c>
      <c r="C5" s="80">
        <v>15</v>
      </c>
    </row>
    <row r="6" spans="2:3" ht="28.5" x14ac:dyDescent="0.25">
      <c r="B6" s="79" t="s">
        <v>95</v>
      </c>
      <c r="C6" s="80">
        <v>15</v>
      </c>
    </row>
    <row r="7" spans="2:3" x14ac:dyDescent="0.25">
      <c r="B7" s="79" t="s">
        <v>96</v>
      </c>
      <c r="C7" s="80">
        <v>14</v>
      </c>
    </row>
    <row r="8" spans="2:3" x14ac:dyDescent="0.25">
      <c r="B8" s="79" t="s">
        <v>97</v>
      </c>
      <c r="C8" s="80">
        <v>12</v>
      </c>
    </row>
    <row r="9" spans="2:3" x14ac:dyDescent="0.25">
      <c r="B9" s="79" t="s">
        <v>98</v>
      </c>
      <c r="C9" s="80">
        <v>14</v>
      </c>
    </row>
    <row r="10" spans="2:3" x14ac:dyDescent="0.25">
      <c r="B10" s="79" t="s">
        <v>100</v>
      </c>
      <c r="C10" s="80">
        <v>14</v>
      </c>
    </row>
    <row r="11" spans="2:3" x14ac:dyDescent="0.25">
      <c r="B11" s="79" t="s">
        <v>101</v>
      </c>
      <c r="C11" s="80">
        <v>15</v>
      </c>
    </row>
    <row r="12" spans="2:3" x14ac:dyDescent="0.25">
      <c r="B12" s="79" t="s">
        <v>99</v>
      </c>
      <c r="C12" s="80">
        <v>14</v>
      </c>
    </row>
    <row r="13" spans="2:3" x14ac:dyDescent="0.25">
      <c r="B13" s="79" t="s">
        <v>102</v>
      </c>
      <c r="C13" s="80">
        <v>10</v>
      </c>
    </row>
    <row r="14" spans="2:3" x14ac:dyDescent="0.25">
      <c r="B14" s="79" t="s">
        <v>103</v>
      </c>
      <c r="C14" s="80">
        <v>12</v>
      </c>
    </row>
    <row r="15" spans="2:3" x14ac:dyDescent="0.25">
      <c r="B15" s="79" t="s">
        <v>104</v>
      </c>
      <c r="C15" s="80">
        <v>15</v>
      </c>
    </row>
    <row r="16" spans="2:3" x14ac:dyDescent="0.25">
      <c r="B16" s="79" t="s">
        <v>105</v>
      </c>
      <c r="C16" s="80">
        <v>15</v>
      </c>
    </row>
    <row r="17" spans="2:3" x14ac:dyDescent="0.25">
      <c r="B17" s="79" t="s">
        <v>106</v>
      </c>
      <c r="C17" s="80">
        <v>14</v>
      </c>
    </row>
    <row r="18" spans="2:3" x14ac:dyDescent="0.25">
      <c r="B18" s="79" t="s">
        <v>107</v>
      </c>
      <c r="C18" s="80">
        <v>14</v>
      </c>
    </row>
    <row r="19" spans="2:3" x14ac:dyDescent="0.25">
      <c r="B19" s="79" t="s">
        <v>108</v>
      </c>
      <c r="C19" s="80">
        <v>14</v>
      </c>
    </row>
    <row r="20" spans="2:3" x14ac:dyDescent="0.25">
      <c r="B20" s="79" t="s">
        <v>109</v>
      </c>
      <c r="C20" s="80">
        <v>11</v>
      </c>
    </row>
    <row r="21" spans="2:3" x14ac:dyDescent="0.25">
      <c r="B21" s="79" t="s">
        <v>110</v>
      </c>
      <c r="C21" s="80">
        <v>15</v>
      </c>
    </row>
    <row r="22" spans="2:3" ht="28.5" x14ac:dyDescent="0.25">
      <c r="B22" s="79" t="s">
        <v>111</v>
      </c>
      <c r="C22" s="80">
        <v>10</v>
      </c>
    </row>
    <row r="23" spans="2:3" ht="28.5" x14ac:dyDescent="0.25">
      <c r="B23" s="79" t="s">
        <v>112</v>
      </c>
      <c r="C23" s="80">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0"/>
  <sheetViews>
    <sheetView topLeftCell="A25" zoomScaleNormal="100" workbookViewId="0">
      <selection activeCell="E24" sqref="E24:E33"/>
    </sheetView>
  </sheetViews>
  <sheetFormatPr baseColWidth="10" defaultRowHeight="15" x14ac:dyDescent="0.25"/>
  <cols>
    <col min="1" max="1" width="6" customWidth="1"/>
    <col min="2" max="2" width="24.28515625" customWidth="1"/>
    <col min="3" max="3" width="16.85546875" customWidth="1"/>
    <col min="4" max="4" width="23.28515625" style="3" customWidth="1"/>
    <col min="5" max="5" width="17.28515625" style="3" customWidth="1"/>
    <col min="6" max="6" width="20.7109375" customWidth="1"/>
    <col min="7" max="7" width="18.5703125" customWidth="1"/>
    <col min="8" max="8" width="18.28515625" customWidth="1"/>
    <col min="9" max="9" width="15" customWidth="1"/>
  </cols>
  <sheetData>
    <row r="1" spans="1:9" ht="21" customHeight="1" x14ac:dyDescent="0.25">
      <c r="A1" s="1"/>
      <c r="B1" s="1"/>
      <c r="C1" s="1"/>
      <c r="D1" s="1"/>
      <c r="E1" s="1"/>
      <c r="F1" s="1"/>
      <c r="G1" s="1"/>
      <c r="H1" s="1"/>
      <c r="I1" s="1"/>
    </row>
    <row r="2" spans="1:9" ht="42.75" customHeight="1" x14ac:dyDescent="0.25">
      <c r="A2" s="365" t="s">
        <v>89</v>
      </c>
      <c r="B2" s="365"/>
      <c r="C2" s="365"/>
      <c r="D2" s="365"/>
      <c r="E2" s="365"/>
      <c r="F2" s="365"/>
      <c r="G2" s="365"/>
      <c r="H2" s="365"/>
      <c r="I2" s="365"/>
    </row>
    <row r="3" spans="1:9" x14ac:dyDescent="0.25">
      <c r="A3" s="1"/>
      <c r="B3" s="1"/>
      <c r="C3" s="1"/>
      <c r="D3" s="1"/>
      <c r="E3" s="1"/>
      <c r="F3" s="1"/>
      <c r="G3" s="1"/>
      <c r="H3" s="1"/>
      <c r="I3" s="1"/>
    </row>
    <row r="4" spans="1:9" ht="19.5" customHeight="1" x14ac:dyDescent="0.25">
      <c r="A4" s="347" t="s">
        <v>116</v>
      </c>
      <c r="B4" s="347"/>
      <c r="C4" s="347"/>
      <c r="D4" s="347"/>
      <c r="E4" s="347"/>
      <c r="F4" s="347"/>
      <c r="G4" s="347"/>
      <c r="H4" s="347"/>
      <c r="I4" s="347"/>
    </row>
    <row r="5" spans="1:9" ht="7.5" customHeight="1" x14ac:dyDescent="0.25">
      <c r="A5" s="1"/>
      <c r="B5" s="1"/>
      <c r="C5" s="1"/>
      <c r="D5" s="1"/>
      <c r="E5" s="1"/>
      <c r="F5" s="1"/>
      <c r="G5" s="1"/>
      <c r="H5" s="1"/>
      <c r="I5" s="1"/>
    </row>
    <row r="6" spans="1:9" s="3" customFormat="1" x14ac:dyDescent="0.25">
      <c r="A6" s="1"/>
      <c r="B6" s="89" t="s">
        <v>118</v>
      </c>
      <c r="C6" s="1"/>
      <c r="D6" s="1"/>
      <c r="E6" s="1"/>
      <c r="F6" s="1"/>
      <c r="G6" s="1"/>
      <c r="H6" s="1"/>
      <c r="I6" s="1"/>
    </row>
    <row r="7" spans="1:9" s="3" customFormat="1" ht="7.5" customHeight="1" x14ac:dyDescent="0.25">
      <c r="A7" s="1"/>
      <c r="B7" s="1"/>
      <c r="C7" s="1"/>
      <c r="D7" s="1"/>
      <c r="E7" s="1"/>
      <c r="F7" s="1"/>
      <c r="G7" s="1"/>
      <c r="H7" s="1"/>
      <c r="I7" s="1"/>
    </row>
    <row r="8" spans="1:9" ht="43.5" customHeight="1" x14ac:dyDescent="0.25">
      <c r="A8" s="86" t="s">
        <v>4</v>
      </c>
      <c r="B8" s="287" t="s">
        <v>36</v>
      </c>
      <c r="C8" s="288" t="s">
        <v>126</v>
      </c>
      <c r="D8" s="87" t="s">
        <v>113</v>
      </c>
      <c r="E8" s="78" t="s">
        <v>91</v>
      </c>
      <c r="F8" s="288" t="s">
        <v>90</v>
      </c>
      <c r="G8" s="88" t="s">
        <v>117</v>
      </c>
      <c r="H8" s="78" t="s">
        <v>115</v>
      </c>
      <c r="I8" s="81"/>
    </row>
    <row r="9" spans="1:9" x14ac:dyDescent="0.25">
      <c r="A9" s="82">
        <v>1</v>
      </c>
      <c r="B9" s="85">
        <f>'1. Datos de entrada'!B46</f>
        <v>0</v>
      </c>
      <c r="C9" s="84">
        <f>'1. Datos de entrada'!F46</f>
        <v>0</v>
      </c>
      <c r="D9" s="84">
        <f>IF('1. Datos de entrada'!A79=1,'1. Datos de entrada'!E79*'1. Datos de entrada'!J79*'1. Datos de entrada'!H79,0)+IF('1. Datos de entrada'!A80=1,'1. Datos de entrada'!E80*'1. Datos de entrada'!J80*'1. Datos de entrada'!H80,0)+IF('1. Datos de entrada'!A81=1,'1. Datos de entrada'!E81*'1. Datos de entrada'!J81*'1. Datos de entrada'!H81,0)</f>
        <v>0</v>
      </c>
      <c r="E9" s="84">
        <f>IF(ISERR(D9/C9),0,D9/C9)</f>
        <v>0</v>
      </c>
      <c r="F9" s="94"/>
      <c r="G9" s="82" t="str">
        <f>IF(F9="","",VLOOKUP(F9,Hoja6!B3:C23,2,FALSE))</f>
        <v/>
      </c>
      <c r="H9" s="83" t="str">
        <f>IF(E9=0,"",IF(E9&lt;G9,"Cumple","No cumple"))</f>
        <v/>
      </c>
      <c r="I9" s="81"/>
    </row>
    <row r="10" spans="1:9" x14ac:dyDescent="0.25">
      <c r="A10" s="82">
        <v>2</v>
      </c>
      <c r="B10" s="85">
        <f>'1. Datos de entrada'!B47</f>
        <v>0</v>
      </c>
      <c r="C10" s="84">
        <f>'1. Datos de entrada'!F47</f>
        <v>0</v>
      </c>
      <c r="D10" s="84">
        <f>IF('1. Datos de entrada'!A82=2,'1. Datos de entrada'!E82*'1. Datos de entrada'!J82*'1. Datos de entrada'!H82,0)+IF('1. Datos de entrada'!A83=2,'1. Datos de entrada'!E83*'1. Datos de entrada'!J83*'1. Datos de entrada'!H83,0)+IF('1. Datos de entrada'!A84=2,'1. Datos de entrada'!E84*'1. Datos de entrada'!J84*'1. Datos de entrada'!H84,0)</f>
        <v>0</v>
      </c>
      <c r="E10" s="84">
        <f t="shared" ref="E10:E18" si="0">IF(ISERR(D10/C10),0,D10/C10)</f>
        <v>0</v>
      </c>
      <c r="F10" s="94"/>
      <c r="G10" s="82" t="str">
        <f>IF(F10="","",VLOOKUP(F10,Hoja6!B4:C24,2,FALSE))</f>
        <v/>
      </c>
      <c r="H10" s="83" t="str">
        <f t="shared" ref="H10:H18" si="1">IF(E10=0,"",IF(E10&lt;G10,"Cumple","No cumple"))</f>
        <v/>
      </c>
      <c r="I10" s="81"/>
    </row>
    <row r="11" spans="1:9" x14ac:dyDescent="0.25">
      <c r="A11" s="82">
        <v>3</v>
      </c>
      <c r="B11" s="85">
        <f>'1. Datos de entrada'!B48</f>
        <v>0</v>
      </c>
      <c r="C11" s="84">
        <f>'1. Datos de entrada'!F48</f>
        <v>0</v>
      </c>
      <c r="D11" s="84">
        <f>IF('1. Datos de entrada'!A85=3,'1. Datos de entrada'!E85*'1. Datos de entrada'!J85*'1. Datos de entrada'!H85,0)+IF('1. Datos de entrada'!A86=3,'1. Datos de entrada'!E86*'1. Datos de entrada'!J86*'1. Datos de entrada'!H86,0)+IF('1. Datos de entrada'!A87=3,'1. Datos de entrada'!E87*'1. Datos de entrada'!J87*'1. Datos de entrada'!H87,0)</f>
        <v>0</v>
      </c>
      <c r="E11" s="84">
        <f t="shared" si="0"/>
        <v>0</v>
      </c>
      <c r="F11" s="94"/>
      <c r="G11" s="82" t="str">
        <f>IF(F11="","",VLOOKUP(F11,Hoja6!B5:C25,2,FALSE))</f>
        <v/>
      </c>
      <c r="H11" s="83" t="str">
        <f t="shared" si="1"/>
        <v/>
      </c>
      <c r="I11" s="81"/>
    </row>
    <row r="12" spans="1:9" x14ac:dyDescent="0.25">
      <c r="A12" s="82">
        <v>4</v>
      </c>
      <c r="B12" s="85">
        <f>'1. Datos de entrada'!B49</f>
        <v>0</v>
      </c>
      <c r="C12" s="84">
        <f>'1. Datos de entrada'!F49</f>
        <v>0</v>
      </c>
      <c r="D12" s="84">
        <f>IF('1. Datos de entrada'!A88=4,'1. Datos de entrada'!E88*'1. Datos de entrada'!J88*'1. Datos de entrada'!H88,0)+IF('1. Datos de entrada'!A89=4,'1. Datos de entrada'!E89*'1. Datos de entrada'!J89*'1. Datos de entrada'!H89,0)+IF('1. Datos de entrada'!A90=4,'1. Datos de entrada'!E90*'1. Datos de entrada'!J90*'1. Datos de entrada'!H90,0)</f>
        <v>0</v>
      </c>
      <c r="E12" s="84">
        <f t="shared" si="0"/>
        <v>0</v>
      </c>
      <c r="F12" s="94"/>
      <c r="G12" s="82" t="str">
        <f>IF(F12="","",VLOOKUP(F12,Hoja6!B6:C26,2,FALSE))</f>
        <v/>
      </c>
      <c r="H12" s="83" t="str">
        <f t="shared" si="1"/>
        <v/>
      </c>
      <c r="I12" s="81"/>
    </row>
    <row r="13" spans="1:9" x14ac:dyDescent="0.25">
      <c r="A13" s="82">
        <v>5</v>
      </c>
      <c r="B13" s="85">
        <f>'1. Datos de entrada'!B50</f>
        <v>0</v>
      </c>
      <c r="C13" s="84">
        <f>'1. Datos de entrada'!F50</f>
        <v>0</v>
      </c>
      <c r="D13" s="84">
        <f>IF('1. Datos de entrada'!A91=5,'1. Datos de entrada'!E91*'1. Datos de entrada'!J91*'1. Datos de entrada'!H91,0)+IF('1. Datos de entrada'!A92=5,'1. Datos de entrada'!E92*'1. Datos de entrada'!J92*'1. Datos de entrada'!H92,0)+IF('1. Datos de entrada'!A93=5,'1. Datos de entrada'!E93*'1. Datos de entrada'!J93*'1. Datos de entrada'!H93,0)</f>
        <v>0</v>
      </c>
      <c r="E13" s="84">
        <f t="shared" si="0"/>
        <v>0</v>
      </c>
      <c r="F13" s="94"/>
      <c r="G13" s="82" t="str">
        <f>IF(F13="","",VLOOKUP(F13,Hoja6!B7:C27,2,FALSE))</f>
        <v/>
      </c>
      <c r="H13" s="83" t="str">
        <f t="shared" si="1"/>
        <v/>
      </c>
      <c r="I13" s="81"/>
    </row>
    <row r="14" spans="1:9" x14ac:dyDescent="0.25">
      <c r="A14" s="82">
        <v>6</v>
      </c>
      <c r="B14" s="85">
        <f>'1. Datos de entrada'!B51</f>
        <v>0</v>
      </c>
      <c r="C14" s="84">
        <f>'1. Datos de entrada'!F51</f>
        <v>0</v>
      </c>
      <c r="D14" s="84">
        <f>IF('1. Datos de entrada'!A94=6,'1. Datos de entrada'!E94*'1. Datos de entrada'!J94*'1. Datos de entrada'!H94,0)+IF('1. Datos de entrada'!A95=6,'1. Datos de entrada'!E95*'1. Datos de entrada'!J95*'1. Datos de entrada'!H95,0)+IF('1. Datos de entrada'!A96=6,'1. Datos de entrada'!E96*'1. Datos de entrada'!J96*'1. Datos de entrada'!H96,0)</f>
        <v>0</v>
      </c>
      <c r="E14" s="84">
        <f t="shared" si="0"/>
        <v>0</v>
      </c>
      <c r="F14" s="94"/>
      <c r="G14" s="82" t="str">
        <f>IF(F14="","",VLOOKUP(F14,Hoja6!B8:C28,2,FALSE))</f>
        <v/>
      </c>
      <c r="H14" s="83" t="str">
        <f t="shared" si="1"/>
        <v/>
      </c>
      <c r="I14" s="81"/>
    </row>
    <row r="15" spans="1:9" x14ac:dyDescent="0.25">
      <c r="A15" s="82">
        <v>7</v>
      </c>
      <c r="B15" s="85">
        <f>'1. Datos de entrada'!B52</f>
        <v>0</v>
      </c>
      <c r="C15" s="84">
        <f>'1. Datos de entrada'!F52</f>
        <v>0</v>
      </c>
      <c r="D15" s="84">
        <f>IF('1. Datos de entrada'!A97=7,'1. Datos de entrada'!E97*'1. Datos de entrada'!J97*'1. Datos de entrada'!H97,0)+IF('1. Datos de entrada'!A98=7,'1. Datos de entrada'!E98*'1. Datos de entrada'!J98*'1. Datos de entrada'!H98,0)+IF('1. Datos de entrada'!A99=7,'1. Datos de entrada'!E99*'1. Datos de entrada'!J99*'1. Datos de entrada'!H99,0)</f>
        <v>0</v>
      </c>
      <c r="E15" s="84">
        <f t="shared" si="0"/>
        <v>0</v>
      </c>
      <c r="F15" s="94"/>
      <c r="G15" s="82" t="str">
        <f>IF(F15="","",VLOOKUP(F15,Hoja6!B9:C29,2,FALSE))</f>
        <v/>
      </c>
      <c r="H15" s="83" t="str">
        <f t="shared" si="1"/>
        <v/>
      </c>
      <c r="I15" s="81"/>
    </row>
    <row r="16" spans="1:9" x14ac:dyDescent="0.25">
      <c r="A16" s="82">
        <v>8</v>
      </c>
      <c r="B16" s="85">
        <f>'1. Datos de entrada'!B53</f>
        <v>0</v>
      </c>
      <c r="C16" s="84">
        <f>'1. Datos de entrada'!F53</f>
        <v>0</v>
      </c>
      <c r="D16" s="84">
        <f>IF('1. Datos de entrada'!A100=8,'1. Datos de entrada'!E100*'1. Datos de entrada'!J100*'1. Datos de entrada'!H100,0)+IF('1. Datos de entrada'!A101=8,'1. Datos de entrada'!E101*'1. Datos de entrada'!J101*'1. Datos de entrada'!H101,0)+IF('1. Datos de entrada'!A102=8,'1. Datos de entrada'!E102*'1. Datos de entrada'!J102*'1. Datos de entrada'!H102,0)</f>
        <v>0</v>
      </c>
      <c r="E16" s="84">
        <f t="shared" si="0"/>
        <v>0</v>
      </c>
      <c r="F16" s="94"/>
      <c r="G16" s="82" t="str">
        <f>IF(F16="","",VLOOKUP(F16,Hoja6!B10:C30,2,FALSE))</f>
        <v/>
      </c>
      <c r="H16" s="83" t="str">
        <f t="shared" si="1"/>
        <v/>
      </c>
      <c r="I16" s="81"/>
    </row>
    <row r="17" spans="1:12" x14ac:dyDescent="0.25">
      <c r="A17" s="82">
        <v>9</v>
      </c>
      <c r="B17" s="85">
        <f>'1. Datos de entrada'!B54</f>
        <v>0</v>
      </c>
      <c r="C17" s="84">
        <f>'1. Datos de entrada'!F54</f>
        <v>0</v>
      </c>
      <c r="D17" s="84">
        <f>IF('1. Datos de entrada'!A103=9,'1. Datos de entrada'!E103*'1. Datos de entrada'!J3*'1. Datos de entrada'!H103,0)+IF('1. Datos de entrada'!A104=9,'1. Datos de entrada'!E104*'1. Datos de entrada'!J104*'1. Datos de entrada'!H104,0)+IF('1. Datos de entrada'!A105=9,'1. Datos de entrada'!E105*'1. Datos de entrada'!J105*'1. Datos de entrada'!H105,0)</f>
        <v>0</v>
      </c>
      <c r="E17" s="84">
        <f t="shared" si="0"/>
        <v>0</v>
      </c>
      <c r="F17" s="94"/>
      <c r="G17" s="82" t="str">
        <f>IF(F17="","",VLOOKUP(F17,Hoja6!B11:C31,2,FALSE))</f>
        <v/>
      </c>
      <c r="H17" s="83" t="str">
        <f t="shared" si="1"/>
        <v/>
      </c>
      <c r="I17" s="81"/>
    </row>
    <row r="18" spans="1:12" x14ac:dyDescent="0.25">
      <c r="A18" s="82">
        <v>10</v>
      </c>
      <c r="B18" s="85">
        <f>'1. Datos de entrada'!B55</f>
        <v>0</v>
      </c>
      <c r="C18" s="84">
        <f>'1. Datos de entrada'!F55</f>
        <v>0</v>
      </c>
      <c r="D18" s="84">
        <f>IF('1. Datos de entrada'!A106=10,'1. Datos de entrada'!E106*'1. Datos de entrada'!J106*'1. Datos de entrada'!H106,0)+IF('1. Datos de entrada'!A107=10,'1. Datos de entrada'!E107*'1. Datos de entrada'!J107*'1. Datos de entrada'!H107,0)+IF('1. Datos de entrada'!A108=10,'1. Datos de entrada'!E108*'1. Datos de entrada'!J108*'1. Datos de entrada'!H108,0)</f>
        <v>0</v>
      </c>
      <c r="E18" s="84">
        <f t="shared" si="0"/>
        <v>0</v>
      </c>
      <c r="F18" s="94"/>
      <c r="G18" s="82" t="str">
        <f>IF(F18="","",VLOOKUP(F18,Hoja6!B12:C32,2,FALSE))</f>
        <v/>
      </c>
      <c r="H18" s="83" t="str">
        <f t="shared" si="1"/>
        <v/>
      </c>
      <c r="I18" s="81"/>
    </row>
    <row r="19" spans="1:12" x14ac:dyDescent="0.25">
      <c r="A19" s="81"/>
      <c r="B19" s="81"/>
      <c r="C19" s="81"/>
      <c r="D19" s="81"/>
      <c r="E19" s="81"/>
      <c r="F19" s="81"/>
      <c r="G19" s="81"/>
      <c r="H19" s="81"/>
      <c r="I19" s="81"/>
    </row>
    <row r="20" spans="1:12" x14ac:dyDescent="0.25">
      <c r="A20" s="81"/>
      <c r="B20" s="81"/>
      <c r="C20" s="81"/>
      <c r="D20" s="81"/>
      <c r="E20" s="81"/>
      <c r="F20" s="81"/>
      <c r="G20" s="81"/>
      <c r="H20" s="81"/>
      <c r="I20" s="81"/>
    </row>
    <row r="21" spans="1:12" ht="21" customHeight="1" x14ac:dyDescent="0.25">
      <c r="A21" s="347" t="s">
        <v>119</v>
      </c>
      <c r="B21" s="347"/>
      <c r="C21" s="347"/>
      <c r="D21" s="347"/>
      <c r="E21" s="347"/>
      <c r="F21" s="347"/>
      <c r="G21" s="347"/>
      <c r="H21" s="347"/>
      <c r="I21" s="347"/>
    </row>
    <row r="22" spans="1:12" x14ac:dyDescent="0.25">
      <c r="A22" s="81"/>
      <c r="B22" s="81"/>
      <c r="C22" s="81"/>
      <c r="D22" s="81"/>
      <c r="E22" s="81"/>
      <c r="F22" s="81"/>
      <c r="G22" s="81"/>
      <c r="H22" s="81"/>
      <c r="I22" s="81"/>
    </row>
    <row r="23" spans="1:12" ht="26.25" customHeight="1" x14ac:dyDescent="0.25">
      <c r="A23" s="86" t="str">
        <f>A8</f>
        <v>#</v>
      </c>
      <c r="B23" s="86" t="str">
        <f>B8</f>
        <v>Nombre del área</v>
      </c>
      <c r="C23" s="366" t="s">
        <v>120</v>
      </c>
      <c r="D23" s="367"/>
      <c r="E23" s="92" t="s">
        <v>121</v>
      </c>
      <c r="F23" s="92" t="s">
        <v>122</v>
      </c>
      <c r="G23" s="92" t="s">
        <v>123</v>
      </c>
      <c r="H23" s="93" t="s">
        <v>124</v>
      </c>
      <c r="J23" s="91"/>
      <c r="K23" s="21"/>
      <c r="L23" s="91"/>
    </row>
    <row r="24" spans="1:12" ht="35.25" customHeight="1" x14ac:dyDescent="0.25">
      <c r="A24" s="82">
        <f t="shared" ref="A24:B24" si="2">A9</f>
        <v>1</v>
      </c>
      <c r="B24" s="85">
        <f t="shared" si="2"/>
        <v>0</v>
      </c>
      <c r="C24" s="90" t="str">
        <f>IF('1. Datos de entrada'!D114="","",IF('1. Datos de entrada'!D114="NO","Incrementar nivel de iluminación","OK suficiente"))</f>
        <v/>
      </c>
      <c r="D24" s="90" t="str">
        <f>IF('1. Datos de entrada'!E114="","",IF('1. Datos de entrada'!E114="NO","Uniformizar nivel de iluminación","OK uniforme"))</f>
        <v/>
      </c>
      <c r="E24" s="90" t="str">
        <f>IF('1. Datos de entrada'!F114="","",IF('1. Datos de entrada'!F114="NO","OK","Eliminar refexiones"))</f>
        <v/>
      </c>
      <c r="F24" s="90" t="str">
        <f>IF('1. Datos de entrada'!H114="","",IF('1. Datos de entrada'!H114="NO","Eliminar deslumbramientos","OK"))</f>
        <v/>
      </c>
      <c r="G24" s="90" t="str">
        <f>IF('1. Datos de entrada'!J114="","",IF('1. Datos de entrada'!J114="NO","Necesario distinguir colores","OK"))</f>
        <v/>
      </c>
      <c r="H24" s="90" t="str">
        <f>IF('1. Datos de entrada'!L114="","",IF('1. Datos de entrada'!L114="NO","Necesario eliminar sombras","OK"))</f>
        <v/>
      </c>
    </row>
    <row r="25" spans="1:12" ht="35.25" customHeight="1" x14ac:dyDescent="0.25">
      <c r="A25" s="82">
        <f t="shared" ref="A25:B25" si="3">A10</f>
        <v>2</v>
      </c>
      <c r="B25" s="85">
        <f t="shared" si="3"/>
        <v>0</v>
      </c>
      <c r="C25" s="90" t="str">
        <f>IF('1. Datos de entrada'!D115="","",IF('1. Datos de entrada'!D115="NO","Incrementar nivel de iluminación","OK suficiente"))</f>
        <v/>
      </c>
      <c r="D25" s="90" t="str">
        <f>IF('1. Datos de entrada'!E115="","",IF('1. Datos de entrada'!E115="NO","Uniformizar nivel de iluminación","OK uniforme"))</f>
        <v/>
      </c>
      <c r="E25" s="90" t="str">
        <f>IF('1. Datos de entrada'!F115="","",IF('1. Datos de entrada'!F115="NO","OK","Eliminar refexiones"))</f>
        <v/>
      </c>
      <c r="F25" s="90" t="str">
        <f>IF('1. Datos de entrada'!H115="","",IF('1. Datos de entrada'!H115="NO","Eliminar deslumbramientos","OK"))</f>
        <v/>
      </c>
      <c r="G25" s="90" t="str">
        <f>IF('1. Datos de entrada'!J115="","",IF('1. Datos de entrada'!J115="NO","Necesario distinguir colores","OK"))</f>
        <v/>
      </c>
      <c r="H25" s="90" t="str">
        <f>IF('1. Datos de entrada'!L115="","",IF('1. Datos de entrada'!L115="NO","Necesario eliminar sombras","OK"))</f>
        <v/>
      </c>
    </row>
    <row r="26" spans="1:12" ht="35.25" customHeight="1" x14ac:dyDescent="0.25">
      <c r="A26" s="82">
        <f t="shared" ref="A26:B26" si="4">A11</f>
        <v>3</v>
      </c>
      <c r="B26" s="85">
        <f t="shared" si="4"/>
        <v>0</v>
      </c>
      <c r="C26" s="90" t="str">
        <f>IF('1. Datos de entrada'!D116="","",IF('1. Datos de entrada'!D116="NO","Incrementar nivel de iluminación","OK suficiente"))</f>
        <v/>
      </c>
      <c r="D26" s="90" t="str">
        <f>IF('1. Datos de entrada'!E116="","",IF('1. Datos de entrada'!E116="NO","Uniformizar nivel de iluminación","OK uniforme"))</f>
        <v/>
      </c>
      <c r="E26" s="90" t="str">
        <f>IF('1. Datos de entrada'!F116="","",IF('1. Datos de entrada'!F116="NO","OK","Eliminar refexiones"))</f>
        <v/>
      </c>
      <c r="F26" s="90" t="str">
        <f>IF('1. Datos de entrada'!H116="","",IF('1. Datos de entrada'!H116="NO","Eliminar deslumbramientos","OK"))</f>
        <v/>
      </c>
      <c r="G26" s="90" t="str">
        <f>IF('1. Datos de entrada'!J116="","",IF('1. Datos de entrada'!J116="NO","Necesario distinguir colores","OK"))</f>
        <v/>
      </c>
      <c r="H26" s="90" t="str">
        <f>IF('1. Datos de entrada'!L116="","",IF('1. Datos de entrada'!L116="NO","Necesario eliminar sombras","OK"))</f>
        <v/>
      </c>
    </row>
    <row r="27" spans="1:12" ht="35.25" customHeight="1" x14ac:dyDescent="0.25">
      <c r="A27" s="82">
        <f t="shared" ref="A27:B27" si="5">A12</f>
        <v>4</v>
      </c>
      <c r="B27" s="85">
        <f t="shared" si="5"/>
        <v>0</v>
      </c>
      <c r="C27" s="90" t="str">
        <f>IF('1. Datos de entrada'!D117="","",IF('1. Datos de entrada'!D117="NO","Incrementar nivel de iluminación","OK suficiente"))</f>
        <v/>
      </c>
      <c r="D27" s="90" t="str">
        <f>IF('1. Datos de entrada'!E117="","",IF('1. Datos de entrada'!E117="NO","Uniformizar nivel de iluminación","OK uniforme"))</f>
        <v/>
      </c>
      <c r="E27" s="90" t="str">
        <f>IF('1. Datos de entrada'!F117="","",IF('1. Datos de entrada'!F117="NO","OK","Eliminar refexiones"))</f>
        <v/>
      </c>
      <c r="F27" s="90" t="str">
        <f>IF('1. Datos de entrada'!H117="","",IF('1. Datos de entrada'!H117="NO","Eliminar deslumbramientos","OK"))</f>
        <v/>
      </c>
      <c r="G27" s="90" t="str">
        <f>IF('1. Datos de entrada'!J117="","",IF('1. Datos de entrada'!J117="NO","Necesario distinguir colores","OK"))</f>
        <v/>
      </c>
      <c r="H27" s="90" t="str">
        <f>IF('1. Datos de entrada'!L117="","",IF('1. Datos de entrada'!L117="NO","Necesario eliminar sombras","OK"))</f>
        <v/>
      </c>
    </row>
    <row r="28" spans="1:12" ht="35.25" customHeight="1" x14ac:dyDescent="0.25">
      <c r="A28" s="82">
        <f t="shared" ref="A28:B28" si="6">A13</f>
        <v>5</v>
      </c>
      <c r="B28" s="85">
        <f t="shared" si="6"/>
        <v>0</v>
      </c>
      <c r="C28" s="90" t="str">
        <f>IF('1. Datos de entrada'!D118="","",IF('1. Datos de entrada'!D118="NO","Incrementar nivel de iluminación","OK suficiente"))</f>
        <v/>
      </c>
      <c r="D28" s="90" t="str">
        <f>IF('1. Datos de entrada'!E118="","",IF('1. Datos de entrada'!E118="NO","Uniformizar nivel de iluminación","OK uniforme"))</f>
        <v/>
      </c>
      <c r="E28" s="90" t="str">
        <f>IF('1. Datos de entrada'!F118="","",IF('1. Datos de entrada'!F118="NO","OK","Eliminar refexiones"))</f>
        <v/>
      </c>
      <c r="F28" s="90" t="str">
        <f>IF('1. Datos de entrada'!H118="","",IF('1. Datos de entrada'!H118="NO","Eliminar deslumbramientos","OK"))</f>
        <v/>
      </c>
      <c r="G28" s="90" t="str">
        <f>IF('1. Datos de entrada'!J118="","",IF('1. Datos de entrada'!J118="NO","Necesario distinguir colores","OK"))</f>
        <v/>
      </c>
      <c r="H28" s="90" t="str">
        <f>IF('1. Datos de entrada'!L118="","",IF('1. Datos de entrada'!L118="NO","Necesario eliminar sombras","OK"))</f>
        <v/>
      </c>
    </row>
    <row r="29" spans="1:12" ht="35.25" customHeight="1" x14ac:dyDescent="0.25">
      <c r="A29" s="82">
        <f t="shared" ref="A29:B29" si="7">A14</f>
        <v>6</v>
      </c>
      <c r="B29" s="85">
        <f t="shared" si="7"/>
        <v>0</v>
      </c>
      <c r="C29" s="90" t="str">
        <f>IF('1. Datos de entrada'!D119="","",IF('1. Datos de entrada'!D119="NO","Incrementar nivel de iluminación","OK suficiente"))</f>
        <v/>
      </c>
      <c r="D29" s="90" t="str">
        <f>IF('1. Datos de entrada'!E119="","",IF('1. Datos de entrada'!E119="NO","Uniformizar nivel de iluminación","OK uniforme"))</f>
        <v/>
      </c>
      <c r="E29" s="90" t="str">
        <f>IF('1. Datos de entrada'!F119="","",IF('1. Datos de entrada'!F119="NO","OK","Eliminar refexiones"))</f>
        <v/>
      </c>
      <c r="F29" s="90" t="str">
        <f>IF('1. Datos de entrada'!H119="","",IF('1. Datos de entrada'!H119="NO","Eliminar deslumbramientos","OK"))</f>
        <v/>
      </c>
      <c r="G29" s="90" t="str">
        <f>IF('1. Datos de entrada'!J119="","",IF('1. Datos de entrada'!J119="NO","Necesario distinguir colores","OK"))</f>
        <v/>
      </c>
      <c r="H29" s="90" t="str">
        <f>IF('1. Datos de entrada'!L119="","",IF('1. Datos de entrada'!L119="NO","Necesario eliminar sombras","OK"))</f>
        <v/>
      </c>
    </row>
    <row r="30" spans="1:12" ht="35.25" customHeight="1" x14ac:dyDescent="0.25">
      <c r="A30" s="82">
        <f t="shared" ref="A30:B30" si="8">A15</f>
        <v>7</v>
      </c>
      <c r="B30" s="85">
        <f t="shared" si="8"/>
        <v>0</v>
      </c>
      <c r="C30" s="90" t="str">
        <f>IF('1. Datos de entrada'!D120="","",IF('1. Datos de entrada'!D120="NO","Incrementar nivel de iluminación","OK suficiente"))</f>
        <v/>
      </c>
      <c r="D30" s="90" t="str">
        <f>IF('1. Datos de entrada'!E120="","",IF('1. Datos de entrada'!E120="NO","Uniformizar nivel de iluminación","OK uniforme"))</f>
        <v/>
      </c>
      <c r="E30" s="90" t="str">
        <f>IF('1. Datos de entrada'!F120="","",IF('1. Datos de entrada'!F120="NO","OK","Eliminar refexiones"))</f>
        <v/>
      </c>
      <c r="F30" s="90" t="str">
        <f>IF('1. Datos de entrada'!H120="","",IF('1. Datos de entrada'!H120="NO","Eliminar deslumbramientos","OK"))</f>
        <v/>
      </c>
      <c r="G30" s="90" t="str">
        <f>IF('1. Datos de entrada'!J120="","",IF('1. Datos de entrada'!J120="NO","Necesario distinguir colores","OK"))</f>
        <v/>
      </c>
      <c r="H30" s="90" t="str">
        <f>IF('1. Datos de entrada'!L120="","",IF('1. Datos de entrada'!L120="NO","Necesario eliminar sombras","OK"))</f>
        <v/>
      </c>
    </row>
    <row r="31" spans="1:12" ht="35.25" customHeight="1" x14ac:dyDescent="0.25">
      <c r="A31" s="82">
        <f t="shared" ref="A31:B31" si="9">A16</f>
        <v>8</v>
      </c>
      <c r="B31" s="85">
        <f t="shared" si="9"/>
        <v>0</v>
      </c>
      <c r="C31" s="90" t="str">
        <f>IF('1. Datos de entrada'!D121="","",IF('1. Datos de entrada'!D121="NO","Incrementar nivel de iluminación","OK suficiente"))</f>
        <v/>
      </c>
      <c r="D31" s="90" t="str">
        <f>IF('1. Datos de entrada'!E121="","",IF('1. Datos de entrada'!E121="NO","Uniformizar nivel de iluminación","OK uniforme"))</f>
        <v/>
      </c>
      <c r="E31" s="90" t="str">
        <f>IF('1. Datos de entrada'!F121="","",IF('1. Datos de entrada'!F121="NO","OK","Eliminar refexiones"))</f>
        <v/>
      </c>
      <c r="F31" s="90" t="str">
        <f>IF('1. Datos de entrada'!H121="","",IF('1. Datos de entrada'!H121="NO","Eliminar deslumbramientos","OK"))</f>
        <v/>
      </c>
      <c r="G31" s="90" t="str">
        <f>IF('1. Datos de entrada'!J121="","",IF('1. Datos de entrada'!J121="NO","Necesario distinguir colores","OK"))</f>
        <v/>
      </c>
      <c r="H31" s="90" t="str">
        <f>IF('1. Datos de entrada'!L121="","",IF('1. Datos de entrada'!L121="NO","Necesario eliminar sombras","OK"))</f>
        <v/>
      </c>
    </row>
    <row r="32" spans="1:12" ht="35.25" customHeight="1" x14ac:dyDescent="0.25">
      <c r="A32" s="82">
        <f t="shared" ref="A32:B32" si="10">A17</f>
        <v>9</v>
      </c>
      <c r="B32" s="85">
        <f t="shared" si="10"/>
        <v>0</v>
      </c>
      <c r="C32" s="90" t="str">
        <f>IF('1. Datos de entrada'!D122="","",IF('1. Datos de entrada'!D122="NO","Incrementar nivel de iluminación","OK suficiente"))</f>
        <v/>
      </c>
      <c r="D32" s="90" t="str">
        <f>IF('1. Datos de entrada'!E122="","",IF('1. Datos de entrada'!E122="NO","Uniformizar nivel de iluminación","OK uniforme"))</f>
        <v/>
      </c>
      <c r="E32" s="90" t="str">
        <f>IF('1. Datos de entrada'!F122="","",IF('1. Datos de entrada'!F122="NO","OK","Eliminar refexiones"))</f>
        <v/>
      </c>
      <c r="F32" s="90" t="str">
        <f>IF('1. Datos de entrada'!H122="","",IF('1. Datos de entrada'!H122="NO","Eliminar deslumbramientos","OK"))</f>
        <v/>
      </c>
      <c r="G32" s="90" t="str">
        <f>IF('1. Datos de entrada'!J122="","",IF('1. Datos de entrada'!J122="NO","Necesario distinguir colores","OK"))</f>
        <v/>
      </c>
      <c r="H32" s="90" t="str">
        <f>IF('1. Datos de entrada'!L122="","",IF('1. Datos de entrada'!L122="NO","Necesario eliminar sombras","OK"))</f>
        <v/>
      </c>
    </row>
    <row r="33" spans="1:9" ht="35.25" customHeight="1" x14ac:dyDescent="0.25">
      <c r="A33" s="82">
        <f t="shared" ref="A33:B33" si="11">A18</f>
        <v>10</v>
      </c>
      <c r="B33" s="85">
        <f t="shared" si="11"/>
        <v>0</v>
      </c>
      <c r="C33" s="90" t="str">
        <f>IF('1. Datos de entrada'!D123="","",IF('1. Datos de entrada'!D123="NO","Incrementar nivel de iluminación","OK suficiente"))</f>
        <v/>
      </c>
      <c r="D33" s="90" t="str">
        <f>IF('1. Datos de entrada'!E123="","",IF('1. Datos de entrada'!E123="NO","Uniformizar nivel de iluminación","OK uniforme"))</f>
        <v/>
      </c>
      <c r="E33" s="90" t="str">
        <f>IF('1. Datos de entrada'!F123="","",IF('1. Datos de entrada'!F123="NO","OK","Eliminar refexiones"))</f>
        <v/>
      </c>
      <c r="F33" s="90" t="str">
        <f>IF('1. Datos de entrada'!H123="","",IF('1. Datos de entrada'!H123="NO","Eliminar deslumbramientos","OK"))</f>
        <v/>
      </c>
      <c r="G33" s="90" t="str">
        <f>IF('1. Datos de entrada'!J123="","",IF('1. Datos de entrada'!J123="NO","Necesario distinguir colores","OK"))</f>
        <v/>
      </c>
      <c r="H33" s="90" t="str">
        <f>IF('1. Datos de entrada'!L123="","",IF('1. Datos de entrada'!L123="NO","Necesario eliminar sombras","OK"))</f>
        <v/>
      </c>
    </row>
    <row r="34" spans="1:9" x14ac:dyDescent="0.25">
      <c r="A34" s="81"/>
      <c r="B34" s="81"/>
      <c r="C34" s="1"/>
      <c r="D34" s="1"/>
      <c r="E34" s="1"/>
      <c r="F34" s="1"/>
      <c r="G34" s="1"/>
      <c r="H34" s="1"/>
      <c r="I34" s="1"/>
    </row>
    <row r="35" spans="1:9" x14ac:dyDescent="0.25">
      <c r="A35" s="81"/>
      <c r="B35" s="81"/>
      <c r="C35" s="1"/>
      <c r="D35" s="1"/>
      <c r="E35" s="1"/>
      <c r="F35" s="1"/>
      <c r="G35" s="1"/>
      <c r="H35" s="1"/>
      <c r="I35" s="1"/>
    </row>
    <row r="36" spans="1:9" ht="24.75" customHeight="1" x14ac:dyDescent="0.25">
      <c r="A36" s="347" t="s">
        <v>125</v>
      </c>
      <c r="B36" s="347"/>
      <c r="C36" s="347"/>
      <c r="D36" s="347"/>
      <c r="E36" s="347"/>
      <c r="F36" s="347"/>
      <c r="G36" s="347"/>
      <c r="H36" s="347"/>
      <c r="I36" s="347"/>
    </row>
    <row r="37" spans="1:9" x14ac:dyDescent="0.25">
      <c r="A37" s="1"/>
      <c r="B37" s="1"/>
      <c r="C37" s="1"/>
      <c r="D37" s="1"/>
      <c r="E37" s="1"/>
      <c r="F37" s="1"/>
      <c r="G37" s="1"/>
      <c r="H37" s="1"/>
      <c r="I37" s="1"/>
    </row>
    <row r="38" spans="1:9" ht="25.5" customHeight="1" x14ac:dyDescent="0.25">
      <c r="A38" s="86" t="str">
        <f>A23</f>
        <v>#</v>
      </c>
      <c r="B38" s="86" t="str">
        <f>B23</f>
        <v>Nombre del área</v>
      </c>
      <c r="C38" s="93" t="s">
        <v>127</v>
      </c>
      <c r="D38" s="368" t="s">
        <v>128</v>
      </c>
      <c r="E38" s="368"/>
      <c r="F38" s="1"/>
      <c r="G38" s="1"/>
      <c r="H38" s="1"/>
      <c r="I38" s="1"/>
    </row>
    <row r="39" spans="1:9" ht="30.75" customHeight="1" x14ac:dyDescent="0.25">
      <c r="A39" s="82">
        <f t="shared" ref="A39:B39" si="12">A24</f>
        <v>1</v>
      </c>
      <c r="B39" s="85">
        <f t="shared" si="12"/>
        <v>0</v>
      </c>
      <c r="C39" s="96" t="str">
        <f>IF('1. Datos de entrada'!D131="","",IF('1. Datos de entrada'!D131="sucio","Requiere limpieza",IF('1. Datos de entrada'!D131="muy sucio","Requiere limpieza","Área limpia")))</f>
        <v/>
      </c>
      <c r="D39" s="362" t="str">
        <f>IF('1. Datos de entrada'!F131="","",IF('1. Datos de entrada'!F131="si","SI","Sugerir hacer un programa de mantenimiento"))</f>
        <v/>
      </c>
      <c r="E39" s="362"/>
      <c r="F39" s="1"/>
      <c r="G39" s="1"/>
      <c r="H39" s="1"/>
      <c r="I39" s="1"/>
    </row>
    <row r="40" spans="1:9" ht="31.5" customHeight="1" x14ac:dyDescent="0.25">
      <c r="A40" s="82">
        <f t="shared" ref="A40:B40" si="13">A25</f>
        <v>2</v>
      </c>
      <c r="B40" s="85">
        <f t="shared" si="13"/>
        <v>0</v>
      </c>
      <c r="C40" s="96" t="str">
        <f>IF('1. Datos de entrada'!D132="","",IF('1. Datos de entrada'!D132="sucio","Requiere limpieza",IF('1. Datos de entrada'!D132="muy sucio","Requiere limpieza","Área limpia")))</f>
        <v/>
      </c>
      <c r="D40" s="362" t="str">
        <f>IF('1. Datos de entrada'!F132="","",IF('1. Datos de entrada'!F132="si","SI","Sugerir hacer un programa de mantenimiento"))</f>
        <v/>
      </c>
      <c r="E40" s="362"/>
      <c r="F40" s="1"/>
      <c r="G40" s="1"/>
      <c r="H40" s="1"/>
      <c r="I40" s="1"/>
    </row>
    <row r="41" spans="1:9" ht="31.5" customHeight="1" x14ac:dyDescent="0.25">
      <c r="A41" s="82">
        <f t="shared" ref="A41:B41" si="14">A26</f>
        <v>3</v>
      </c>
      <c r="B41" s="85">
        <f t="shared" si="14"/>
        <v>0</v>
      </c>
      <c r="C41" s="96" t="str">
        <f>IF('1. Datos de entrada'!D133="","",IF('1. Datos de entrada'!D133="sucio","Requiere limpieza",IF('1. Datos de entrada'!D133="muy sucio","Requiere limpieza","Área limpia")))</f>
        <v/>
      </c>
      <c r="D41" s="362" t="str">
        <f>IF('1. Datos de entrada'!F133="","",IF('1. Datos de entrada'!F133="si","SI","Sugerir hacer un programa de mantenimiento"))</f>
        <v/>
      </c>
      <c r="E41" s="362"/>
      <c r="F41" s="1"/>
      <c r="G41" s="1"/>
      <c r="H41" s="1"/>
      <c r="I41" s="1"/>
    </row>
    <row r="42" spans="1:9" ht="31.5" customHeight="1" x14ac:dyDescent="0.25">
      <c r="A42" s="82">
        <f t="shared" ref="A42:B42" si="15">A27</f>
        <v>4</v>
      </c>
      <c r="B42" s="85">
        <f t="shared" si="15"/>
        <v>0</v>
      </c>
      <c r="C42" s="96" t="str">
        <f>IF('1. Datos de entrada'!D134="","",IF('1. Datos de entrada'!D134="sucio","Requiere limpieza",IF('1. Datos de entrada'!D134="muy sucio","Requiere limpieza","Área limpia")))</f>
        <v/>
      </c>
      <c r="D42" s="362" t="str">
        <f>IF('1. Datos de entrada'!F134="","",IF('1. Datos de entrada'!F134="si","SI","Sugerir hacer un programa de mantenimiento"))</f>
        <v/>
      </c>
      <c r="E42" s="362"/>
      <c r="F42" s="1"/>
      <c r="G42" s="1"/>
      <c r="H42" s="1"/>
      <c r="I42" s="1"/>
    </row>
    <row r="43" spans="1:9" ht="31.5" customHeight="1" x14ac:dyDescent="0.25">
      <c r="A43" s="82">
        <f t="shared" ref="A43:B43" si="16">A28</f>
        <v>5</v>
      </c>
      <c r="B43" s="85">
        <f t="shared" si="16"/>
        <v>0</v>
      </c>
      <c r="C43" s="96" t="str">
        <f>IF('1. Datos de entrada'!D135="","",IF('1. Datos de entrada'!D135="sucio","Requiere limpieza",IF('1. Datos de entrada'!D135="muy sucio","Requiere limpieza","Área limpia")))</f>
        <v/>
      </c>
      <c r="D43" s="362" t="str">
        <f>IF('1. Datos de entrada'!F135="","",IF('1. Datos de entrada'!F135="si","SI","Sugerir hacer un programa de mantenimiento"))</f>
        <v/>
      </c>
      <c r="E43" s="362"/>
      <c r="F43" s="1"/>
      <c r="G43" s="1"/>
      <c r="H43" s="1"/>
      <c r="I43" s="1"/>
    </row>
    <row r="44" spans="1:9" ht="31.5" customHeight="1" x14ac:dyDescent="0.25">
      <c r="A44" s="82">
        <f t="shared" ref="A44:B44" si="17">A29</f>
        <v>6</v>
      </c>
      <c r="B44" s="85">
        <f t="shared" si="17"/>
        <v>0</v>
      </c>
      <c r="C44" s="96" t="str">
        <f>IF('1. Datos de entrada'!D136="","",IF('1. Datos de entrada'!D136="sucio","Requiere limpieza",IF('1. Datos de entrada'!D136="muy sucio","Requiere limpieza","Área limpia")))</f>
        <v/>
      </c>
      <c r="D44" s="362" t="str">
        <f>IF('1. Datos de entrada'!F136="","",IF('1. Datos de entrada'!F136="si","SI","Sugerir hacer un programa de mantenimiento"))</f>
        <v/>
      </c>
      <c r="E44" s="362"/>
      <c r="F44" s="1"/>
      <c r="G44" s="1"/>
      <c r="H44" s="1"/>
      <c r="I44" s="1"/>
    </row>
    <row r="45" spans="1:9" ht="31.5" customHeight="1" x14ac:dyDescent="0.25">
      <c r="A45" s="82">
        <f t="shared" ref="A45:B45" si="18">A30</f>
        <v>7</v>
      </c>
      <c r="B45" s="85">
        <f t="shared" si="18"/>
        <v>0</v>
      </c>
      <c r="C45" s="96" t="str">
        <f>IF('1. Datos de entrada'!D137="","",IF('1. Datos de entrada'!D137="sucio","Requiere limpieza",IF('1. Datos de entrada'!D137="muy sucio","Requiere limpieza","Área limpia")))</f>
        <v/>
      </c>
      <c r="D45" s="362" t="str">
        <f>IF('1. Datos de entrada'!F137="","",IF('1. Datos de entrada'!F137="si","SI","Sugerir hacer un programa de mantenimiento"))</f>
        <v/>
      </c>
      <c r="E45" s="362"/>
      <c r="F45" s="1"/>
      <c r="G45" s="1"/>
      <c r="H45" s="1"/>
      <c r="I45" s="1"/>
    </row>
    <row r="46" spans="1:9" ht="31.5" customHeight="1" x14ac:dyDescent="0.25">
      <c r="A46" s="82">
        <f t="shared" ref="A46:B46" si="19">A31</f>
        <v>8</v>
      </c>
      <c r="B46" s="85">
        <f t="shared" si="19"/>
        <v>0</v>
      </c>
      <c r="C46" s="96" t="str">
        <f>IF('1. Datos de entrada'!D138="","",IF('1. Datos de entrada'!D138="sucio","Requiere limpieza",IF('1. Datos de entrada'!D138="muy sucio","Requiere limpieza","Área limpia")))</f>
        <v/>
      </c>
      <c r="D46" s="362" t="str">
        <f>IF('1. Datos de entrada'!F138="","",IF('1. Datos de entrada'!F138="si","SI","Sugerir hacer un programa de mantenimiento"))</f>
        <v/>
      </c>
      <c r="E46" s="362"/>
      <c r="F46" s="1"/>
      <c r="G46" s="1"/>
      <c r="H46" s="1"/>
      <c r="I46" s="1"/>
    </row>
    <row r="47" spans="1:9" ht="31.5" customHeight="1" x14ac:dyDescent="0.25">
      <c r="A47" s="82">
        <f t="shared" ref="A47:B47" si="20">A32</f>
        <v>9</v>
      </c>
      <c r="B47" s="85">
        <f t="shared" si="20"/>
        <v>0</v>
      </c>
      <c r="C47" s="96" t="str">
        <f>IF('1. Datos de entrada'!D139="","",IF('1. Datos de entrada'!D139="sucio","Requiere limpieza",IF('1. Datos de entrada'!D139="muy sucio","Requiere limpieza","Área limpia")))</f>
        <v/>
      </c>
      <c r="D47" s="362" t="str">
        <f>IF('1. Datos de entrada'!F139="","",IF('1. Datos de entrada'!F139="si","SI","Sugerir hacer un programa de mantenimiento"))</f>
        <v/>
      </c>
      <c r="E47" s="362"/>
      <c r="F47" s="1"/>
      <c r="G47" s="1"/>
      <c r="H47" s="1"/>
      <c r="I47" s="1"/>
    </row>
    <row r="48" spans="1:9" ht="31.5" customHeight="1" x14ac:dyDescent="0.25">
      <c r="A48" s="82">
        <f t="shared" ref="A48:B48" si="21">A33</f>
        <v>10</v>
      </c>
      <c r="B48" s="85">
        <f t="shared" si="21"/>
        <v>0</v>
      </c>
      <c r="C48" s="96" t="str">
        <f>IF('1. Datos de entrada'!D140="","",IF('1. Datos de entrada'!D140="sucio","Requiere limpieza",IF('1. Datos de entrada'!D140="muy sucio","Requiere limpieza","Área limpia")))</f>
        <v/>
      </c>
      <c r="D48" s="362" t="str">
        <f>IF('1. Datos de entrada'!F140="","",IF('1. Datos de entrada'!F140="si","SI","Sugerir hacer un programa de mantenimiento"))</f>
        <v/>
      </c>
      <c r="E48" s="362"/>
      <c r="F48" s="1"/>
      <c r="G48" s="1"/>
      <c r="H48" s="1"/>
      <c r="I48" s="1"/>
    </row>
    <row r="49" spans="1:9" x14ac:dyDescent="0.25">
      <c r="A49" s="1"/>
      <c r="B49" s="1"/>
      <c r="C49" s="97"/>
      <c r="D49" s="97"/>
      <c r="E49" s="1"/>
      <c r="F49" s="1"/>
      <c r="G49" s="1"/>
      <c r="H49" s="1"/>
      <c r="I49" s="1"/>
    </row>
    <row r="50" spans="1:9" x14ac:dyDescent="0.25">
      <c r="A50" s="1"/>
      <c r="B50" s="1"/>
      <c r="C50" s="1"/>
      <c r="D50" s="1"/>
      <c r="E50" s="1"/>
      <c r="F50" s="1"/>
      <c r="G50" s="1"/>
      <c r="H50" s="1"/>
      <c r="I50" s="1"/>
    </row>
    <row r="51" spans="1:9" ht="21" customHeight="1" x14ac:dyDescent="0.25">
      <c r="A51" s="347" t="s">
        <v>324</v>
      </c>
      <c r="B51" s="347"/>
      <c r="C51" s="347"/>
      <c r="D51" s="347"/>
      <c r="E51" s="347"/>
      <c r="F51" s="347"/>
      <c r="G51" s="347"/>
      <c r="H51" s="347"/>
      <c r="I51" s="347"/>
    </row>
    <row r="52" spans="1:9" x14ac:dyDescent="0.25">
      <c r="A52" s="1"/>
      <c r="B52" s="1"/>
      <c r="C52" s="1"/>
      <c r="D52" s="1"/>
      <c r="E52" s="1"/>
      <c r="F52" s="1"/>
      <c r="G52" s="1"/>
      <c r="H52" s="1"/>
      <c r="I52" s="1"/>
    </row>
    <row r="53" spans="1:9" s="3" customFormat="1" ht="97.5" customHeight="1" x14ac:dyDescent="0.25">
      <c r="A53" s="363" t="s">
        <v>340</v>
      </c>
      <c r="B53" s="364"/>
      <c r="C53" s="364"/>
      <c r="D53" s="364"/>
      <c r="E53" s="364"/>
      <c r="F53" s="364"/>
      <c r="G53" s="364"/>
      <c r="H53" s="364"/>
      <c r="I53" s="364"/>
    </row>
    <row r="54" spans="1:9" s="3" customFormat="1" ht="10.5" customHeight="1" x14ac:dyDescent="0.25">
      <c r="A54" s="100"/>
      <c r="B54" s="101"/>
      <c r="C54" s="101"/>
      <c r="D54" s="101"/>
      <c r="E54" s="101"/>
      <c r="F54" s="101"/>
      <c r="G54" s="101"/>
      <c r="H54" s="101"/>
      <c r="I54" s="101"/>
    </row>
    <row r="55" spans="1:9" s="3" customFormat="1" ht="23.25" customHeight="1" x14ac:dyDescent="0.25">
      <c r="A55" s="361" t="str">
        <f>A38</f>
        <v>#</v>
      </c>
      <c r="B55" s="361" t="str">
        <f>B38</f>
        <v>Nombre del área</v>
      </c>
      <c r="C55" s="361" t="s">
        <v>343</v>
      </c>
      <c r="D55" s="361"/>
      <c r="E55" s="361"/>
      <c r="F55" s="361"/>
      <c r="G55" s="357" t="s">
        <v>329</v>
      </c>
      <c r="H55" s="358"/>
      <c r="I55" s="1"/>
    </row>
    <row r="56" spans="1:9" ht="49.5" customHeight="1" x14ac:dyDescent="0.25">
      <c r="A56" s="361"/>
      <c r="B56" s="361"/>
      <c r="C56" s="273" t="s">
        <v>325</v>
      </c>
      <c r="D56" s="271" t="s">
        <v>326</v>
      </c>
      <c r="E56" s="93" t="s">
        <v>327</v>
      </c>
      <c r="F56" s="98" t="s">
        <v>328</v>
      </c>
      <c r="G56" s="359"/>
      <c r="H56" s="360"/>
      <c r="I56" s="1"/>
    </row>
    <row r="57" spans="1:9" ht="24.75" customHeight="1" x14ac:dyDescent="0.25">
      <c r="A57" s="82">
        <f t="shared" ref="A57:B57" si="22">A39</f>
        <v>1</v>
      </c>
      <c r="B57" s="85">
        <f t="shared" si="22"/>
        <v>0</v>
      </c>
      <c r="C57" s="270"/>
      <c r="D57" s="270"/>
      <c r="E57" s="270"/>
      <c r="F57" s="272"/>
      <c r="G57" s="350" t="s">
        <v>330</v>
      </c>
      <c r="H57" s="351"/>
      <c r="I57" s="1"/>
    </row>
    <row r="58" spans="1:9" ht="24.75" customHeight="1" x14ac:dyDescent="0.25">
      <c r="A58" s="82">
        <f t="shared" ref="A58:B58" si="23">A40</f>
        <v>2</v>
      </c>
      <c r="B58" s="85">
        <f t="shared" si="23"/>
        <v>0</v>
      </c>
      <c r="C58" s="270"/>
      <c r="D58" s="270"/>
      <c r="E58" s="270"/>
      <c r="F58" s="272"/>
      <c r="G58" s="352"/>
      <c r="H58" s="353"/>
      <c r="I58" s="1"/>
    </row>
    <row r="59" spans="1:9" ht="24.75" customHeight="1" x14ac:dyDescent="0.25">
      <c r="A59" s="82">
        <f t="shared" ref="A59:B59" si="24">A41</f>
        <v>3</v>
      </c>
      <c r="B59" s="85">
        <f t="shared" si="24"/>
        <v>0</v>
      </c>
      <c r="C59" s="270"/>
      <c r="D59" s="270"/>
      <c r="E59" s="270"/>
      <c r="F59" s="272"/>
      <c r="G59" s="352"/>
      <c r="H59" s="353"/>
      <c r="I59" s="1"/>
    </row>
    <row r="60" spans="1:9" ht="24.75" customHeight="1" x14ac:dyDescent="0.25">
      <c r="A60" s="82">
        <f t="shared" ref="A60:B60" si="25">A42</f>
        <v>4</v>
      </c>
      <c r="B60" s="85">
        <f t="shared" si="25"/>
        <v>0</v>
      </c>
      <c r="C60" s="270"/>
      <c r="D60" s="270"/>
      <c r="E60" s="270"/>
      <c r="F60" s="272"/>
      <c r="G60" s="352"/>
      <c r="H60" s="353"/>
      <c r="I60" s="1"/>
    </row>
    <row r="61" spans="1:9" ht="24.75" customHeight="1" x14ac:dyDescent="0.25">
      <c r="A61" s="82">
        <f t="shared" ref="A61:B61" si="26">A43</f>
        <v>5</v>
      </c>
      <c r="B61" s="85">
        <f t="shared" si="26"/>
        <v>0</v>
      </c>
      <c r="C61" s="270"/>
      <c r="D61" s="270"/>
      <c r="E61" s="270"/>
      <c r="F61" s="272"/>
      <c r="G61" s="352"/>
      <c r="H61" s="353"/>
      <c r="I61" s="1"/>
    </row>
    <row r="62" spans="1:9" ht="24.75" customHeight="1" x14ac:dyDescent="0.25">
      <c r="A62" s="82">
        <f t="shared" ref="A62:B62" si="27">A44</f>
        <v>6</v>
      </c>
      <c r="B62" s="85">
        <f t="shared" si="27"/>
        <v>0</v>
      </c>
      <c r="C62" s="270"/>
      <c r="D62" s="270"/>
      <c r="E62" s="270"/>
      <c r="F62" s="272"/>
      <c r="G62" s="352"/>
      <c r="H62" s="353"/>
      <c r="I62" s="1"/>
    </row>
    <row r="63" spans="1:9" ht="24.75" customHeight="1" x14ac:dyDescent="0.25">
      <c r="A63" s="82">
        <f t="shared" ref="A63:B63" si="28">A45</f>
        <v>7</v>
      </c>
      <c r="B63" s="85">
        <f t="shared" si="28"/>
        <v>0</v>
      </c>
      <c r="C63" s="270"/>
      <c r="D63" s="270"/>
      <c r="E63" s="270"/>
      <c r="F63" s="272"/>
      <c r="G63" s="352"/>
      <c r="H63" s="353"/>
      <c r="I63" s="1"/>
    </row>
    <row r="64" spans="1:9" ht="24.75" customHeight="1" x14ac:dyDescent="0.25">
      <c r="A64" s="82">
        <f t="shared" ref="A64:B64" si="29">A46</f>
        <v>8</v>
      </c>
      <c r="B64" s="85">
        <f t="shared" si="29"/>
        <v>0</v>
      </c>
      <c r="C64" s="270"/>
      <c r="D64" s="270"/>
      <c r="E64" s="270"/>
      <c r="F64" s="272"/>
      <c r="G64" s="352"/>
      <c r="H64" s="353"/>
      <c r="I64" s="1"/>
    </row>
    <row r="65" spans="1:9" ht="24.75" customHeight="1" x14ac:dyDescent="0.25">
      <c r="A65" s="82">
        <f t="shared" ref="A65:B65" si="30">A47</f>
        <v>9</v>
      </c>
      <c r="B65" s="85">
        <f t="shared" si="30"/>
        <v>0</v>
      </c>
      <c r="C65" s="270"/>
      <c r="D65" s="270"/>
      <c r="E65" s="270"/>
      <c r="F65" s="272"/>
      <c r="G65" s="352"/>
      <c r="H65" s="353"/>
      <c r="I65" s="1"/>
    </row>
    <row r="66" spans="1:9" ht="24.75" customHeight="1" x14ac:dyDescent="0.25">
      <c r="A66" s="82">
        <f t="shared" ref="A66:B66" si="31">A48</f>
        <v>10</v>
      </c>
      <c r="B66" s="85">
        <f t="shared" si="31"/>
        <v>0</v>
      </c>
      <c r="C66" s="270"/>
      <c r="D66" s="270"/>
      <c r="E66" s="270"/>
      <c r="F66" s="272"/>
      <c r="G66" s="354"/>
      <c r="H66" s="355"/>
      <c r="I66" s="1"/>
    </row>
    <row r="67" spans="1:9" x14ac:dyDescent="0.25">
      <c r="A67" s="1"/>
      <c r="B67" s="1"/>
      <c r="C67" s="1"/>
      <c r="D67" s="1"/>
      <c r="E67" s="1"/>
      <c r="F67" s="1"/>
      <c r="G67" s="1"/>
      <c r="H67" s="1"/>
      <c r="I67" s="1"/>
    </row>
    <row r="68" spans="1:9" x14ac:dyDescent="0.25">
      <c r="A68" s="1"/>
      <c r="B68" s="1"/>
      <c r="C68" s="1"/>
      <c r="D68" s="1"/>
      <c r="E68" s="1"/>
      <c r="F68" s="1"/>
      <c r="G68" s="1"/>
      <c r="H68" s="1"/>
      <c r="I68" s="1"/>
    </row>
    <row r="69" spans="1:9" s="3" customFormat="1" x14ac:dyDescent="0.25">
      <c r="A69" s="286" t="s">
        <v>334</v>
      </c>
      <c r="B69" s="1"/>
      <c r="C69" s="1"/>
      <c r="D69" s="1"/>
      <c r="E69" s="1"/>
      <c r="F69" s="1"/>
      <c r="G69" s="1"/>
      <c r="H69" s="1"/>
      <c r="I69" s="1"/>
    </row>
    <row r="70" spans="1:9" s="3" customFormat="1" ht="5.25" customHeight="1" x14ac:dyDescent="0.25">
      <c r="A70" s="1"/>
      <c r="B70" s="1"/>
      <c r="C70" s="1"/>
      <c r="D70" s="1"/>
      <c r="E70" s="1"/>
      <c r="F70" s="1"/>
      <c r="G70" s="1"/>
      <c r="H70" s="1"/>
      <c r="I70" s="1"/>
    </row>
    <row r="71" spans="1:9" ht="25.5" customHeight="1" x14ac:dyDescent="0.25">
      <c r="A71" s="361" t="str">
        <f>A55</f>
        <v>#</v>
      </c>
      <c r="B71" s="361" t="str">
        <f>B55</f>
        <v>Nombre del área</v>
      </c>
      <c r="C71" s="361" t="s">
        <v>344</v>
      </c>
      <c r="D71" s="361"/>
      <c r="E71" s="361"/>
      <c r="F71" s="361"/>
      <c r="G71" s="361"/>
      <c r="H71" s="274"/>
      <c r="I71" s="21"/>
    </row>
    <row r="72" spans="1:9" ht="45" x14ac:dyDescent="0.25">
      <c r="A72" s="361"/>
      <c r="B72" s="361"/>
      <c r="C72" s="98" t="s">
        <v>325</v>
      </c>
      <c r="D72" s="271" t="s">
        <v>326</v>
      </c>
      <c r="E72" s="98" t="s">
        <v>327</v>
      </c>
      <c r="F72" s="92" t="s">
        <v>328</v>
      </c>
      <c r="G72" s="275" t="s">
        <v>332</v>
      </c>
      <c r="H72" s="21"/>
      <c r="I72" s="21"/>
    </row>
    <row r="73" spans="1:9" x14ac:dyDescent="0.25">
      <c r="A73" s="82">
        <f>A57</f>
        <v>1</v>
      </c>
      <c r="B73" s="85">
        <f>B57</f>
        <v>0</v>
      </c>
      <c r="C73" s="284"/>
      <c r="D73" s="284"/>
      <c r="E73" s="284"/>
      <c r="F73" s="285"/>
      <c r="G73" s="276">
        <f>SUM(C73:F73)</f>
        <v>0</v>
      </c>
      <c r="H73" s="21"/>
      <c r="I73" s="21"/>
    </row>
    <row r="74" spans="1:9" x14ac:dyDescent="0.25">
      <c r="A74" s="82">
        <f t="shared" ref="A74:B82" si="32">A58</f>
        <v>2</v>
      </c>
      <c r="B74" s="85">
        <f t="shared" si="32"/>
        <v>0</v>
      </c>
      <c r="C74" s="284"/>
      <c r="D74" s="284"/>
      <c r="E74" s="284"/>
      <c r="F74" s="285"/>
      <c r="G74" s="276">
        <f t="shared" ref="G74:G80" si="33">SUM(C74:F74)</f>
        <v>0</v>
      </c>
      <c r="H74" s="21"/>
      <c r="I74" s="21"/>
    </row>
    <row r="75" spans="1:9" x14ac:dyDescent="0.25">
      <c r="A75" s="82">
        <f t="shared" si="32"/>
        <v>3</v>
      </c>
      <c r="B75" s="85">
        <f t="shared" si="32"/>
        <v>0</v>
      </c>
      <c r="C75" s="284"/>
      <c r="D75" s="284"/>
      <c r="E75" s="284"/>
      <c r="F75" s="285"/>
      <c r="G75" s="276">
        <f t="shared" si="33"/>
        <v>0</v>
      </c>
      <c r="H75" s="1"/>
      <c r="I75" s="1"/>
    </row>
    <row r="76" spans="1:9" x14ac:dyDescent="0.25">
      <c r="A76" s="82">
        <f t="shared" si="32"/>
        <v>4</v>
      </c>
      <c r="B76" s="85">
        <f t="shared" si="32"/>
        <v>0</v>
      </c>
      <c r="C76" s="284"/>
      <c r="D76" s="284"/>
      <c r="E76" s="284"/>
      <c r="F76" s="285"/>
      <c r="G76" s="276">
        <f t="shared" si="33"/>
        <v>0</v>
      </c>
      <c r="H76" s="1"/>
      <c r="I76" s="1"/>
    </row>
    <row r="77" spans="1:9" x14ac:dyDescent="0.25">
      <c r="A77" s="82">
        <f t="shared" si="32"/>
        <v>5</v>
      </c>
      <c r="B77" s="85">
        <f t="shared" si="32"/>
        <v>0</v>
      </c>
      <c r="C77" s="284"/>
      <c r="D77" s="284"/>
      <c r="E77" s="284"/>
      <c r="F77" s="285"/>
      <c r="G77" s="276">
        <f t="shared" si="33"/>
        <v>0</v>
      </c>
      <c r="H77" s="1"/>
      <c r="I77" s="1"/>
    </row>
    <row r="78" spans="1:9" x14ac:dyDescent="0.25">
      <c r="A78" s="82">
        <f t="shared" si="32"/>
        <v>6</v>
      </c>
      <c r="B78" s="85">
        <f t="shared" si="32"/>
        <v>0</v>
      </c>
      <c r="C78" s="284"/>
      <c r="D78" s="284"/>
      <c r="E78" s="284"/>
      <c r="F78" s="285"/>
      <c r="G78" s="276">
        <f t="shared" si="33"/>
        <v>0</v>
      </c>
      <c r="H78" s="1"/>
      <c r="I78" s="1"/>
    </row>
    <row r="79" spans="1:9" x14ac:dyDescent="0.25">
      <c r="A79" s="82">
        <f t="shared" si="32"/>
        <v>7</v>
      </c>
      <c r="B79" s="85">
        <f t="shared" si="32"/>
        <v>0</v>
      </c>
      <c r="C79" s="284"/>
      <c r="D79" s="284"/>
      <c r="E79" s="284"/>
      <c r="F79" s="285"/>
      <c r="G79" s="276">
        <f t="shared" si="33"/>
        <v>0</v>
      </c>
      <c r="H79" s="1"/>
      <c r="I79" s="1"/>
    </row>
    <row r="80" spans="1:9" x14ac:dyDescent="0.25">
      <c r="A80" s="82">
        <f t="shared" si="32"/>
        <v>8</v>
      </c>
      <c r="B80" s="85">
        <f t="shared" si="32"/>
        <v>0</v>
      </c>
      <c r="C80" s="284"/>
      <c r="D80" s="284"/>
      <c r="E80" s="284"/>
      <c r="F80" s="285"/>
      <c r="G80" s="276">
        <f t="shared" si="33"/>
        <v>0</v>
      </c>
      <c r="H80" s="1"/>
      <c r="I80" s="1"/>
    </row>
    <row r="81" spans="1:9" x14ac:dyDescent="0.25">
      <c r="A81" s="82">
        <f t="shared" si="32"/>
        <v>9</v>
      </c>
      <c r="B81" s="85">
        <f t="shared" si="32"/>
        <v>0</v>
      </c>
      <c r="C81" s="284"/>
      <c r="D81" s="284"/>
      <c r="E81" s="284"/>
      <c r="F81" s="285"/>
      <c r="G81" s="276">
        <f>SUM(C81:F81)</f>
        <v>0</v>
      </c>
      <c r="H81" s="1"/>
      <c r="I81" s="1"/>
    </row>
    <row r="82" spans="1:9" x14ac:dyDescent="0.25">
      <c r="A82" s="82">
        <f t="shared" si="32"/>
        <v>10</v>
      </c>
      <c r="B82" s="85">
        <f t="shared" si="32"/>
        <v>0</v>
      </c>
      <c r="C82" s="284"/>
      <c r="D82" s="284"/>
      <c r="E82" s="284"/>
      <c r="F82" s="285"/>
      <c r="G82" s="276">
        <f>SUM(C82:F82)</f>
        <v>0</v>
      </c>
      <c r="H82" s="1"/>
      <c r="I82" s="1"/>
    </row>
    <row r="83" spans="1:9" x14ac:dyDescent="0.25">
      <c r="A83" s="1"/>
      <c r="B83" s="1"/>
      <c r="C83" s="1"/>
      <c r="D83" s="1"/>
      <c r="E83" s="1"/>
      <c r="F83" s="1"/>
      <c r="G83" s="277">
        <f>SUM(G73:G82)</f>
        <v>0</v>
      </c>
      <c r="H83" s="1"/>
      <c r="I83" s="1"/>
    </row>
    <row r="84" spans="1:9" x14ac:dyDescent="0.25">
      <c r="A84" s="1"/>
      <c r="B84" s="1"/>
      <c r="C84" s="1"/>
      <c r="D84" s="1"/>
      <c r="E84" s="1"/>
      <c r="F84" s="1"/>
      <c r="G84" s="1"/>
      <c r="H84" s="1"/>
      <c r="I84" s="1"/>
    </row>
    <row r="85" spans="1:9" x14ac:dyDescent="0.25">
      <c r="A85" s="347" t="s">
        <v>221</v>
      </c>
      <c r="B85" s="347"/>
      <c r="C85" s="347"/>
      <c r="D85" s="347"/>
      <c r="E85" s="347"/>
      <c r="F85" s="347"/>
      <c r="G85" s="347"/>
      <c r="H85" s="347"/>
      <c r="I85" s="347"/>
    </row>
    <row r="86" spans="1:9" x14ac:dyDescent="0.25">
      <c r="A86" s="81"/>
      <c r="B86" s="81"/>
      <c r="C86" s="81"/>
      <c r="D86" s="81"/>
      <c r="E86" s="81"/>
      <c r="F86" s="81"/>
      <c r="G86" s="81"/>
      <c r="H86" s="81"/>
      <c r="I86" s="1"/>
    </row>
    <row r="87" spans="1:9" s="3" customFormat="1" x14ac:dyDescent="0.25">
      <c r="A87" s="280" t="s">
        <v>331</v>
      </c>
      <c r="B87" s="81"/>
      <c r="C87" s="81"/>
      <c r="D87" s="278">
        <f>G83</f>
        <v>0</v>
      </c>
      <c r="E87" s="281" t="s">
        <v>226</v>
      </c>
      <c r="F87" s="81"/>
      <c r="G87" s="81"/>
      <c r="H87" s="81"/>
      <c r="I87" s="1"/>
    </row>
    <row r="88" spans="1:9" s="3" customFormat="1" ht="9.75" customHeight="1" x14ac:dyDescent="0.25">
      <c r="A88" s="81"/>
      <c r="B88" s="81"/>
      <c r="C88" s="81"/>
      <c r="D88" s="81"/>
      <c r="E88" s="81"/>
      <c r="F88" s="81"/>
      <c r="G88" s="81"/>
      <c r="H88" s="81"/>
      <c r="I88" s="1"/>
    </row>
    <row r="89" spans="1:9" x14ac:dyDescent="0.25">
      <c r="A89" s="136" t="s">
        <v>219</v>
      </c>
      <c r="B89" s="136"/>
      <c r="C89" s="136"/>
      <c r="D89" s="194">
        <v>0.12</v>
      </c>
      <c r="E89" s="136" t="s">
        <v>347</v>
      </c>
      <c r="F89" s="154"/>
      <c r="G89" s="118"/>
      <c r="H89" s="81"/>
      <c r="I89" s="1"/>
    </row>
    <row r="90" spans="1:9" ht="3.75" customHeight="1" x14ac:dyDescent="0.25">
      <c r="A90" s="119"/>
      <c r="B90" s="119"/>
      <c r="C90" s="119"/>
      <c r="D90" s="111"/>
      <c r="E90" s="118"/>
      <c r="F90" s="118"/>
      <c r="G90" s="118"/>
      <c r="H90" s="81"/>
      <c r="I90" s="1"/>
    </row>
    <row r="91" spans="1:9" ht="28.5" customHeight="1" x14ac:dyDescent="0.25">
      <c r="A91" s="348" t="s">
        <v>345</v>
      </c>
      <c r="B91" s="348"/>
      <c r="C91" s="348"/>
      <c r="D91" s="348"/>
      <c r="E91" s="348"/>
      <c r="F91" s="348"/>
      <c r="G91" s="348"/>
      <c r="H91" s="81"/>
      <c r="I91" s="1"/>
    </row>
    <row r="92" spans="1:9" ht="6" customHeight="1" x14ac:dyDescent="0.25">
      <c r="A92" s="81"/>
      <c r="B92" s="81"/>
      <c r="C92" s="81"/>
      <c r="D92" s="81"/>
      <c r="E92" s="81"/>
      <c r="F92" s="81"/>
      <c r="G92" s="81"/>
      <c r="H92" s="81"/>
      <c r="I92" s="1"/>
    </row>
    <row r="93" spans="1:9" x14ac:dyDescent="0.25">
      <c r="A93" s="280" t="s">
        <v>333</v>
      </c>
      <c r="B93" s="81"/>
      <c r="C93" s="81"/>
      <c r="D93" s="282">
        <f>D89*D87</f>
        <v>0</v>
      </c>
      <c r="E93" s="160" t="s">
        <v>225</v>
      </c>
      <c r="F93" s="81"/>
      <c r="G93" s="81"/>
      <c r="H93" s="81"/>
      <c r="I93" s="1"/>
    </row>
    <row r="94" spans="1:9" s="3" customFormat="1" ht="5.25" customHeight="1" x14ac:dyDescent="0.25">
      <c r="A94" s="81"/>
      <c r="B94" s="81"/>
      <c r="C94" s="81"/>
      <c r="D94" s="279"/>
      <c r="E94" s="136"/>
      <c r="F94" s="81"/>
      <c r="G94" s="81"/>
      <c r="H94" s="81"/>
      <c r="I94" s="1"/>
    </row>
    <row r="95" spans="1:9" ht="15.75" x14ac:dyDescent="0.3">
      <c r="A95" s="349" t="s">
        <v>235</v>
      </c>
      <c r="B95" s="349"/>
      <c r="C95" s="349"/>
      <c r="D95" s="177">
        <v>0.499</v>
      </c>
      <c r="E95" s="208" t="s">
        <v>236</v>
      </c>
      <c r="F95" s="356" t="s">
        <v>346</v>
      </c>
      <c r="G95" s="356"/>
      <c r="H95" s="81"/>
      <c r="I95" s="1"/>
    </row>
    <row r="96" spans="1:9" s="3" customFormat="1" ht="3.75" customHeight="1" x14ac:dyDescent="0.25">
      <c r="A96" s="209"/>
      <c r="B96" s="209"/>
      <c r="C96" s="209"/>
      <c r="D96" s="177"/>
      <c r="E96" s="209"/>
      <c r="F96" s="209"/>
      <c r="G96" s="81"/>
      <c r="H96" s="81"/>
      <c r="I96" s="1"/>
    </row>
    <row r="97" spans="1:9" ht="15" customHeight="1" x14ac:dyDescent="0.25">
      <c r="A97" s="283" t="s">
        <v>234</v>
      </c>
      <c r="B97" s="109"/>
      <c r="C97" s="109"/>
      <c r="D97" s="262">
        <f>D95*D87</f>
        <v>0</v>
      </c>
      <c r="E97" s="210" t="s">
        <v>237</v>
      </c>
      <c r="F97" s="210"/>
      <c r="H97" s="81"/>
      <c r="I97" s="1"/>
    </row>
    <row r="98" spans="1:9" ht="15.75" customHeight="1" x14ac:dyDescent="0.25">
      <c r="A98" s="208"/>
      <c r="B98" s="208"/>
      <c r="C98" s="208"/>
      <c r="D98" s="208"/>
      <c r="H98" s="1"/>
      <c r="I98" s="1"/>
    </row>
    <row r="99" spans="1:9" x14ac:dyDescent="0.25">
      <c r="A99" s="1"/>
      <c r="B99" s="1"/>
      <c r="C99" s="1"/>
      <c r="D99" s="1"/>
      <c r="E99" s="1"/>
      <c r="F99" s="1"/>
      <c r="G99" s="1"/>
      <c r="H99" s="1"/>
      <c r="I99" s="1"/>
    </row>
    <row r="100" spans="1:9" x14ac:dyDescent="0.25">
      <c r="A100" s="1"/>
      <c r="B100" s="1"/>
      <c r="C100" s="1"/>
      <c r="D100" s="1"/>
      <c r="E100" s="1"/>
      <c r="F100" s="1"/>
      <c r="G100" s="1"/>
      <c r="H100" s="1"/>
      <c r="I100" s="1"/>
    </row>
  </sheetData>
  <mergeCells count="30">
    <mergeCell ref="A2:I2"/>
    <mergeCell ref="A4:I4"/>
    <mergeCell ref="A55:A56"/>
    <mergeCell ref="B55:B56"/>
    <mergeCell ref="C55:F55"/>
    <mergeCell ref="D45:E45"/>
    <mergeCell ref="C23:D23"/>
    <mergeCell ref="A36:I36"/>
    <mergeCell ref="D38:E38"/>
    <mergeCell ref="D39:E39"/>
    <mergeCell ref="D40:E40"/>
    <mergeCell ref="D41:E41"/>
    <mergeCell ref="D42:E42"/>
    <mergeCell ref="D43:E43"/>
    <mergeCell ref="D44:E44"/>
    <mergeCell ref="D46:E46"/>
    <mergeCell ref="G55:H56"/>
    <mergeCell ref="C71:G71"/>
    <mergeCell ref="A71:A72"/>
    <mergeCell ref="B71:B72"/>
    <mergeCell ref="A21:I21"/>
    <mergeCell ref="D47:E47"/>
    <mergeCell ref="D48:E48"/>
    <mergeCell ref="A51:I51"/>
    <mergeCell ref="A53:I53"/>
    <mergeCell ref="A85:I85"/>
    <mergeCell ref="A91:G91"/>
    <mergeCell ref="A95:C95"/>
    <mergeCell ref="G57:H66"/>
    <mergeCell ref="F95:G95"/>
  </mergeCells>
  <dataValidations count="1">
    <dataValidation type="list" allowBlank="1" showInputMessage="1" showErrorMessage="1" sqref="C57:F66">
      <formula1>"""SI"",""NO"""</formula1>
    </dataValidation>
  </dataValidations>
  <pageMargins left="0.7" right="0.7" top="1.6354166666666667" bottom="0.75" header="0.3" footer="0.3"/>
  <pageSetup scale="56" fitToHeight="0" orientation="portrait" horizontalDpi="0" verticalDpi="0" r:id="rId1"/>
  <headerFooter>
    <oddHeader>&amp;C&amp;G&amp;R&amp;"Arial,Negrita Cursiva"ILUMINACIÓN</oddHead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Hoja6!$B$3:$B$23</xm:f>
          </x14:formula1>
          <xm:sqref>F9:F18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74"/>
  <sheetViews>
    <sheetView showOutlineSymbols="0" topLeftCell="A30" zoomScaleNormal="100" workbookViewId="0">
      <selection activeCell="A35" sqref="A35:XFD42"/>
    </sheetView>
  </sheetViews>
  <sheetFormatPr baseColWidth="10" defaultRowHeight="12.75" x14ac:dyDescent="0.2"/>
  <cols>
    <col min="1" max="1" width="6.28515625" style="68" customWidth="1"/>
    <col min="2" max="2" width="2.140625" style="68" customWidth="1"/>
    <col min="3" max="3" width="5.140625" style="68" customWidth="1"/>
    <col min="4" max="5" width="11.42578125" style="68"/>
    <col min="6" max="6" width="21.42578125" style="68" customWidth="1"/>
    <col min="7" max="9" width="11.42578125" style="68"/>
    <col min="10" max="11" width="3.42578125" style="68" customWidth="1"/>
    <col min="12" max="256" width="11.42578125" style="68"/>
    <col min="257" max="257" width="6.28515625" style="68" customWidth="1"/>
    <col min="258" max="258" width="2.140625" style="68" customWidth="1"/>
    <col min="259" max="259" width="5.140625" style="68" customWidth="1"/>
    <col min="260" max="261" width="11.42578125" style="68"/>
    <col min="262" max="262" width="21.42578125" style="68" customWidth="1"/>
    <col min="263" max="265" width="11.42578125" style="68"/>
    <col min="266" max="267" width="3.42578125" style="68" customWidth="1"/>
    <col min="268" max="512" width="11.42578125" style="68"/>
    <col min="513" max="513" width="6.28515625" style="68" customWidth="1"/>
    <col min="514" max="514" width="2.140625" style="68" customWidth="1"/>
    <col min="515" max="515" width="5.140625" style="68" customWidth="1"/>
    <col min="516" max="517" width="11.42578125" style="68"/>
    <col min="518" max="518" width="21.42578125" style="68" customWidth="1"/>
    <col min="519" max="521" width="11.42578125" style="68"/>
    <col min="522" max="523" width="3.42578125" style="68" customWidth="1"/>
    <col min="524" max="768" width="11.42578125" style="68"/>
    <col min="769" max="769" width="6.28515625" style="68" customWidth="1"/>
    <col min="770" max="770" width="2.140625" style="68" customWidth="1"/>
    <col min="771" max="771" width="5.140625" style="68" customWidth="1"/>
    <col min="772" max="773" width="11.42578125" style="68"/>
    <col min="774" max="774" width="21.42578125" style="68" customWidth="1"/>
    <col min="775" max="777" width="11.42578125" style="68"/>
    <col min="778" max="779" width="3.42578125" style="68" customWidth="1"/>
    <col min="780" max="1024" width="11.42578125" style="68"/>
    <col min="1025" max="1025" width="6.28515625" style="68" customWidth="1"/>
    <col min="1026" max="1026" width="2.140625" style="68" customWidth="1"/>
    <col min="1027" max="1027" width="5.140625" style="68" customWidth="1"/>
    <col min="1028" max="1029" width="11.42578125" style="68"/>
    <col min="1030" max="1030" width="21.42578125" style="68" customWidth="1"/>
    <col min="1031" max="1033" width="11.42578125" style="68"/>
    <col min="1034" max="1035" width="3.42578125" style="68" customWidth="1"/>
    <col min="1036" max="1280" width="11.42578125" style="68"/>
    <col min="1281" max="1281" width="6.28515625" style="68" customWidth="1"/>
    <col min="1282" max="1282" width="2.140625" style="68" customWidth="1"/>
    <col min="1283" max="1283" width="5.140625" style="68" customWidth="1"/>
    <col min="1284" max="1285" width="11.42578125" style="68"/>
    <col min="1286" max="1286" width="21.42578125" style="68" customWidth="1"/>
    <col min="1287" max="1289" width="11.42578125" style="68"/>
    <col min="1290" max="1291" width="3.42578125" style="68" customWidth="1"/>
    <col min="1292" max="1536" width="11.42578125" style="68"/>
    <col min="1537" max="1537" width="6.28515625" style="68" customWidth="1"/>
    <col min="1538" max="1538" width="2.140625" style="68" customWidth="1"/>
    <col min="1539" max="1539" width="5.140625" style="68" customWidth="1"/>
    <col min="1540" max="1541" width="11.42578125" style="68"/>
    <col min="1542" max="1542" width="21.42578125" style="68" customWidth="1"/>
    <col min="1543" max="1545" width="11.42578125" style="68"/>
    <col min="1546" max="1547" width="3.42578125" style="68" customWidth="1"/>
    <col min="1548" max="1792" width="11.42578125" style="68"/>
    <col min="1793" max="1793" width="6.28515625" style="68" customWidth="1"/>
    <col min="1794" max="1794" width="2.140625" style="68" customWidth="1"/>
    <col min="1795" max="1795" width="5.140625" style="68" customWidth="1"/>
    <col min="1796" max="1797" width="11.42578125" style="68"/>
    <col min="1798" max="1798" width="21.42578125" style="68" customWidth="1"/>
    <col min="1799" max="1801" width="11.42578125" style="68"/>
    <col min="1802" max="1803" width="3.42578125" style="68" customWidth="1"/>
    <col min="1804" max="2048" width="11.42578125" style="68"/>
    <col min="2049" max="2049" width="6.28515625" style="68" customWidth="1"/>
    <col min="2050" max="2050" width="2.140625" style="68" customWidth="1"/>
    <col min="2051" max="2051" width="5.140625" style="68" customWidth="1"/>
    <col min="2052" max="2053" width="11.42578125" style="68"/>
    <col min="2054" max="2054" width="21.42578125" style="68" customWidth="1"/>
    <col min="2055" max="2057" width="11.42578125" style="68"/>
    <col min="2058" max="2059" width="3.42578125" style="68" customWidth="1"/>
    <col min="2060" max="2304" width="11.42578125" style="68"/>
    <col min="2305" max="2305" width="6.28515625" style="68" customWidth="1"/>
    <col min="2306" max="2306" width="2.140625" style="68" customWidth="1"/>
    <col min="2307" max="2307" width="5.140625" style="68" customWidth="1"/>
    <col min="2308" max="2309" width="11.42578125" style="68"/>
    <col min="2310" max="2310" width="21.42578125" style="68" customWidth="1"/>
    <col min="2311" max="2313" width="11.42578125" style="68"/>
    <col min="2314" max="2315" width="3.42578125" style="68" customWidth="1"/>
    <col min="2316" max="2560" width="11.42578125" style="68"/>
    <col min="2561" max="2561" width="6.28515625" style="68" customWidth="1"/>
    <col min="2562" max="2562" width="2.140625" style="68" customWidth="1"/>
    <col min="2563" max="2563" width="5.140625" style="68" customWidth="1"/>
    <col min="2564" max="2565" width="11.42578125" style="68"/>
    <col min="2566" max="2566" width="21.42578125" style="68" customWidth="1"/>
    <col min="2567" max="2569" width="11.42578125" style="68"/>
    <col min="2570" max="2571" width="3.42578125" style="68" customWidth="1"/>
    <col min="2572" max="2816" width="11.42578125" style="68"/>
    <col min="2817" max="2817" width="6.28515625" style="68" customWidth="1"/>
    <col min="2818" max="2818" width="2.140625" style="68" customWidth="1"/>
    <col min="2819" max="2819" width="5.140625" style="68" customWidth="1"/>
    <col min="2820" max="2821" width="11.42578125" style="68"/>
    <col min="2822" max="2822" width="21.42578125" style="68" customWidth="1"/>
    <col min="2823" max="2825" width="11.42578125" style="68"/>
    <col min="2826" max="2827" width="3.42578125" style="68" customWidth="1"/>
    <col min="2828" max="3072" width="11.42578125" style="68"/>
    <col min="3073" max="3073" width="6.28515625" style="68" customWidth="1"/>
    <col min="3074" max="3074" width="2.140625" style="68" customWidth="1"/>
    <col min="3075" max="3075" width="5.140625" style="68" customWidth="1"/>
    <col min="3076" max="3077" width="11.42578125" style="68"/>
    <col min="3078" max="3078" width="21.42578125" style="68" customWidth="1"/>
    <col min="3079" max="3081" width="11.42578125" style="68"/>
    <col min="3082" max="3083" width="3.42578125" style="68" customWidth="1"/>
    <col min="3084" max="3328" width="11.42578125" style="68"/>
    <col min="3329" max="3329" width="6.28515625" style="68" customWidth="1"/>
    <col min="3330" max="3330" width="2.140625" style="68" customWidth="1"/>
    <col min="3331" max="3331" width="5.140625" style="68" customWidth="1"/>
    <col min="3332" max="3333" width="11.42578125" style="68"/>
    <col min="3334" max="3334" width="21.42578125" style="68" customWidth="1"/>
    <col min="3335" max="3337" width="11.42578125" style="68"/>
    <col min="3338" max="3339" width="3.42578125" style="68" customWidth="1"/>
    <col min="3340" max="3584" width="11.42578125" style="68"/>
    <col min="3585" max="3585" width="6.28515625" style="68" customWidth="1"/>
    <col min="3586" max="3586" width="2.140625" style="68" customWidth="1"/>
    <col min="3587" max="3587" width="5.140625" style="68" customWidth="1"/>
    <col min="3588" max="3589" width="11.42578125" style="68"/>
    <col min="3590" max="3590" width="21.42578125" style="68" customWidth="1"/>
    <col min="3591" max="3593" width="11.42578125" style="68"/>
    <col min="3594" max="3595" width="3.42578125" style="68" customWidth="1"/>
    <col min="3596" max="3840" width="11.42578125" style="68"/>
    <col min="3841" max="3841" width="6.28515625" style="68" customWidth="1"/>
    <col min="3842" max="3842" width="2.140625" style="68" customWidth="1"/>
    <col min="3843" max="3843" width="5.140625" style="68" customWidth="1"/>
    <col min="3844" max="3845" width="11.42578125" style="68"/>
    <col min="3846" max="3846" width="21.42578125" style="68" customWidth="1"/>
    <col min="3847" max="3849" width="11.42578125" style="68"/>
    <col min="3850" max="3851" width="3.42578125" style="68" customWidth="1"/>
    <col min="3852" max="4096" width="11.42578125" style="68"/>
    <col min="4097" max="4097" width="6.28515625" style="68" customWidth="1"/>
    <col min="4098" max="4098" width="2.140625" style="68" customWidth="1"/>
    <col min="4099" max="4099" width="5.140625" style="68" customWidth="1"/>
    <col min="4100" max="4101" width="11.42578125" style="68"/>
    <col min="4102" max="4102" width="21.42578125" style="68" customWidth="1"/>
    <col min="4103" max="4105" width="11.42578125" style="68"/>
    <col min="4106" max="4107" width="3.42578125" style="68" customWidth="1"/>
    <col min="4108" max="4352" width="11.42578125" style="68"/>
    <col min="4353" max="4353" width="6.28515625" style="68" customWidth="1"/>
    <col min="4354" max="4354" width="2.140625" style="68" customWidth="1"/>
    <col min="4355" max="4355" width="5.140625" style="68" customWidth="1"/>
    <col min="4356" max="4357" width="11.42578125" style="68"/>
    <col min="4358" max="4358" width="21.42578125" style="68" customWidth="1"/>
    <col min="4359" max="4361" width="11.42578125" style="68"/>
    <col min="4362" max="4363" width="3.42578125" style="68" customWidth="1"/>
    <col min="4364" max="4608" width="11.42578125" style="68"/>
    <col min="4609" max="4609" width="6.28515625" style="68" customWidth="1"/>
    <col min="4610" max="4610" width="2.140625" style="68" customWidth="1"/>
    <col min="4611" max="4611" width="5.140625" style="68" customWidth="1"/>
    <col min="4612" max="4613" width="11.42578125" style="68"/>
    <col min="4614" max="4614" width="21.42578125" style="68" customWidth="1"/>
    <col min="4615" max="4617" width="11.42578125" style="68"/>
    <col min="4618" max="4619" width="3.42578125" style="68" customWidth="1"/>
    <col min="4620" max="4864" width="11.42578125" style="68"/>
    <col min="4865" max="4865" width="6.28515625" style="68" customWidth="1"/>
    <col min="4866" max="4866" width="2.140625" style="68" customWidth="1"/>
    <col min="4867" max="4867" width="5.140625" style="68" customWidth="1"/>
    <col min="4868" max="4869" width="11.42578125" style="68"/>
    <col min="4870" max="4870" width="21.42578125" style="68" customWidth="1"/>
    <col min="4871" max="4873" width="11.42578125" style="68"/>
    <col min="4874" max="4875" width="3.42578125" style="68" customWidth="1"/>
    <col min="4876" max="5120" width="11.42578125" style="68"/>
    <col min="5121" max="5121" width="6.28515625" style="68" customWidth="1"/>
    <col min="5122" max="5122" width="2.140625" style="68" customWidth="1"/>
    <col min="5123" max="5123" width="5.140625" style="68" customWidth="1"/>
    <col min="5124" max="5125" width="11.42578125" style="68"/>
    <col min="5126" max="5126" width="21.42578125" style="68" customWidth="1"/>
    <col min="5127" max="5129" width="11.42578125" style="68"/>
    <col min="5130" max="5131" width="3.42578125" style="68" customWidth="1"/>
    <col min="5132" max="5376" width="11.42578125" style="68"/>
    <col min="5377" max="5377" width="6.28515625" style="68" customWidth="1"/>
    <col min="5378" max="5378" width="2.140625" style="68" customWidth="1"/>
    <col min="5379" max="5379" width="5.140625" style="68" customWidth="1"/>
    <col min="5380" max="5381" width="11.42578125" style="68"/>
    <col min="5382" max="5382" width="21.42578125" style="68" customWidth="1"/>
    <col min="5383" max="5385" width="11.42578125" style="68"/>
    <col min="5386" max="5387" width="3.42578125" style="68" customWidth="1"/>
    <col min="5388" max="5632" width="11.42578125" style="68"/>
    <col min="5633" max="5633" width="6.28515625" style="68" customWidth="1"/>
    <col min="5634" max="5634" width="2.140625" style="68" customWidth="1"/>
    <col min="5635" max="5635" width="5.140625" style="68" customWidth="1"/>
    <col min="5636" max="5637" width="11.42578125" style="68"/>
    <col min="5638" max="5638" width="21.42578125" style="68" customWidth="1"/>
    <col min="5639" max="5641" width="11.42578125" style="68"/>
    <col min="5642" max="5643" width="3.42578125" style="68" customWidth="1"/>
    <col min="5644" max="5888" width="11.42578125" style="68"/>
    <col min="5889" max="5889" width="6.28515625" style="68" customWidth="1"/>
    <col min="5890" max="5890" width="2.140625" style="68" customWidth="1"/>
    <col min="5891" max="5891" width="5.140625" style="68" customWidth="1"/>
    <col min="5892" max="5893" width="11.42578125" style="68"/>
    <col min="5894" max="5894" width="21.42578125" style="68" customWidth="1"/>
    <col min="5895" max="5897" width="11.42578125" style="68"/>
    <col min="5898" max="5899" width="3.42578125" style="68" customWidth="1"/>
    <col min="5900" max="6144" width="11.42578125" style="68"/>
    <col min="6145" max="6145" width="6.28515625" style="68" customWidth="1"/>
    <col min="6146" max="6146" width="2.140625" style="68" customWidth="1"/>
    <col min="6147" max="6147" width="5.140625" style="68" customWidth="1"/>
    <col min="6148" max="6149" width="11.42578125" style="68"/>
    <col min="6150" max="6150" width="21.42578125" style="68" customWidth="1"/>
    <col min="6151" max="6153" width="11.42578125" style="68"/>
    <col min="6154" max="6155" width="3.42578125" style="68" customWidth="1"/>
    <col min="6156" max="6400" width="11.42578125" style="68"/>
    <col min="6401" max="6401" width="6.28515625" style="68" customWidth="1"/>
    <col min="6402" max="6402" width="2.140625" style="68" customWidth="1"/>
    <col min="6403" max="6403" width="5.140625" style="68" customWidth="1"/>
    <col min="6404" max="6405" width="11.42578125" style="68"/>
    <col min="6406" max="6406" width="21.42578125" style="68" customWidth="1"/>
    <col min="6407" max="6409" width="11.42578125" style="68"/>
    <col min="6410" max="6411" width="3.42578125" style="68" customWidth="1"/>
    <col min="6412" max="6656" width="11.42578125" style="68"/>
    <col min="6657" max="6657" width="6.28515625" style="68" customWidth="1"/>
    <col min="6658" max="6658" width="2.140625" style="68" customWidth="1"/>
    <col min="6659" max="6659" width="5.140625" style="68" customWidth="1"/>
    <col min="6660" max="6661" width="11.42578125" style="68"/>
    <col min="6662" max="6662" width="21.42578125" style="68" customWidth="1"/>
    <col min="6663" max="6665" width="11.42578125" style="68"/>
    <col min="6666" max="6667" width="3.42578125" style="68" customWidth="1"/>
    <col min="6668" max="6912" width="11.42578125" style="68"/>
    <col min="6913" max="6913" width="6.28515625" style="68" customWidth="1"/>
    <col min="6914" max="6914" width="2.140625" style="68" customWidth="1"/>
    <col min="6915" max="6915" width="5.140625" style="68" customWidth="1"/>
    <col min="6916" max="6917" width="11.42578125" style="68"/>
    <col min="6918" max="6918" width="21.42578125" style="68" customWidth="1"/>
    <col min="6919" max="6921" width="11.42578125" style="68"/>
    <col min="6922" max="6923" width="3.42578125" style="68" customWidth="1"/>
    <col min="6924" max="7168" width="11.42578125" style="68"/>
    <col min="7169" max="7169" width="6.28515625" style="68" customWidth="1"/>
    <col min="7170" max="7170" width="2.140625" style="68" customWidth="1"/>
    <col min="7171" max="7171" width="5.140625" style="68" customWidth="1"/>
    <col min="7172" max="7173" width="11.42578125" style="68"/>
    <col min="7174" max="7174" width="21.42578125" style="68" customWidth="1"/>
    <col min="7175" max="7177" width="11.42578125" style="68"/>
    <col min="7178" max="7179" width="3.42578125" style="68" customWidth="1"/>
    <col min="7180" max="7424" width="11.42578125" style="68"/>
    <col min="7425" max="7425" width="6.28515625" style="68" customWidth="1"/>
    <col min="7426" max="7426" width="2.140625" style="68" customWidth="1"/>
    <col min="7427" max="7427" width="5.140625" style="68" customWidth="1"/>
    <col min="7428" max="7429" width="11.42578125" style="68"/>
    <col min="7430" max="7430" width="21.42578125" style="68" customWidth="1"/>
    <col min="7431" max="7433" width="11.42578125" style="68"/>
    <col min="7434" max="7435" width="3.42578125" style="68" customWidth="1"/>
    <col min="7436" max="7680" width="11.42578125" style="68"/>
    <col min="7681" max="7681" width="6.28515625" style="68" customWidth="1"/>
    <col min="7682" max="7682" width="2.140625" style="68" customWidth="1"/>
    <col min="7683" max="7683" width="5.140625" style="68" customWidth="1"/>
    <col min="7684" max="7685" width="11.42578125" style="68"/>
    <col min="7686" max="7686" width="21.42578125" style="68" customWidth="1"/>
    <col min="7687" max="7689" width="11.42578125" style="68"/>
    <col min="7690" max="7691" width="3.42578125" style="68" customWidth="1"/>
    <col min="7692" max="7936" width="11.42578125" style="68"/>
    <col min="7937" max="7937" width="6.28515625" style="68" customWidth="1"/>
    <col min="7938" max="7938" width="2.140625" style="68" customWidth="1"/>
    <col min="7939" max="7939" width="5.140625" style="68" customWidth="1"/>
    <col min="7940" max="7941" width="11.42578125" style="68"/>
    <col min="7942" max="7942" width="21.42578125" style="68" customWidth="1"/>
    <col min="7943" max="7945" width="11.42578125" style="68"/>
    <col min="7946" max="7947" width="3.42578125" style="68" customWidth="1"/>
    <col min="7948" max="8192" width="11.42578125" style="68"/>
    <col min="8193" max="8193" width="6.28515625" style="68" customWidth="1"/>
    <col min="8194" max="8194" width="2.140625" style="68" customWidth="1"/>
    <col min="8195" max="8195" width="5.140625" style="68" customWidth="1"/>
    <col min="8196" max="8197" width="11.42578125" style="68"/>
    <col min="8198" max="8198" width="21.42578125" style="68" customWidth="1"/>
    <col min="8199" max="8201" width="11.42578125" style="68"/>
    <col min="8202" max="8203" width="3.42578125" style="68" customWidth="1"/>
    <col min="8204" max="8448" width="11.42578125" style="68"/>
    <col min="8449" max="8449" width="6.28515625" style="68" customWidth="1"/>
    <col min="8450" max="8450" width="2.140625" style="68" customWidth="1"/>
    <col min="8451" max="8451" width="5.140625" style="68" customWidth="1"/>
    <col min="8452" max="8453" width="11.42578125" style="68"/>
    <col min="8454" max="8454" width="21.42578125" style="68" customWidth="1"/>
    <col min="8455" max="8457" width="11.42578125" style="68"/>
    <col min="8458" max="8459" width="3.42578125" style="68" customWidth="1"/>
    <col min="8460" max="8704" width="11.42578125" style="68"/>
    <col min="8705" max="8705" width="6.28515625" style="68" customWidth="1"/>
    <col min="8706" max="8706" width="2.140625" style="68" customWidth="1"/>
    <col min="8707" max="8707" width="5.140625" style="68" customWidth="1"/>
    <col min="8708" max="8709" width="11.42578125" style="68"/>
    <col min="8710" max="8710" width="21.42578125" style="68" customWidth="1"/>
    <col min="8711" max="8713" width="11.42578125" style="68"/>
    <col min="8714" max="8715" width="3.42578125" style="68" customWidth="1"/>
    <col min="8716" max="8960" width="11.42578125" style="68"/>
    <col min="8961" max="8961" width="6.28515625" style="68" customWidth="1"/>
    <col min="8962" max="8962" width="2.140625" style="68" customWidth="1"/>
    <col min="8963" max="8963" width="5.140625" style="68" customWidth="1"/>
    <col min="8964" max="8965" width="11.42578125" style="68"/>
    <col min="8966" max="8966" width="21.42578125" style="68" customWidth="1"/>
    <col min="8967" max="8969" width="11.42578125" style="68"/>
    <col min="8970" max="8971" width="3.42578125" style="68" customWidth="1"/>
    <col min="8972" max="9216" width="11.42578125" style="68"/>
    <col min="9217" max="9217" width="6.28515625" style="68" customWidth="1"/>
    <col min="9218" max="9218" width="2.140625" style="68" customWidth="1"/>
    <col min="9219" max="9219" width="5.140625" style="68" customWidth="1"/>
    <col min="9220" max="9221" width="11.42578125" style="68"/>
    <col min="9222" max="9222" width="21.42578125" style="68" customWidth="1"/>
    <col min="9223" max="9225" width="11.42578125" style="68"/>
    <col min="9226" max="9227" width="3.42578125" style="68" customWidth="1"/>
    <col min="9228" max="9472" width="11.42578125" style="68"/>
    <col min="9473" max="9473" width="6.28515625" style="68" customWidth="1"/>
    <col min="9474" max="9474" width="2.140625" style="68" customWidth="1"/>
    <col min="9475" max="9475" width="5.140625" style="68" customWidth="1"/>
    <col min="9476" max="9477" width="11.42578125" style="68"/>
    <col min="9478" max="9478" width="21.42578125" style="68" customWidth="1"/>
    <col min="9479" max="9481" width="11.42578125" style="68"/>
    <col min="9482" max="9483" width="3.42578125" style="68" customWidth="1"/>
    <col min="9484" max="9728" width="11.42578125" style="68"/>
    <col min="9729" max="9729" width="6.28515625" style="68" customWidth="1"/>
    <col min="9730" max="9730" width="2.140625" style="68" customWidth="1"/>
    <col min="9731" max="9731" width="5.140625" style="68" customWidth="1"/>
    <col min="9732" max="9733" width="11.42578125" style="68"/>
    <col min="9734" max="9734" width="21.42578125" style="68" customWidth="1"/>
    <col min="9735" max="9737" width="11.42578125" style="68"/>
    <col min="9738" max="9739" width="3.42578125" style="68" customWidth="1"/>
    <col min="9740" max="9984" width="11.42578125" style="68"/>
    <col min="9985" max="9985" width="6.28515625" style="68" customWidth="1"/>
    <col min="9986" max="9986" width="2.140625" style="68" customWidth="1"/>
    <col min="9987" max="9987" width="5.140625" style="68" customWidth="1"/>
    <col min="9988" max="9989" width="11.42578125" style="68"/>
    <col min="9990" max="9990" width="21.42578125" style="68" customWidth="1"/>
    <col min="9991" max="9993" width="11.42578125" style="68"/>
    <col min="9994" max="9995" width="3.42578125" style="68" customWidth="1"/>
    <col min="9996" max="10240" width="11.42578125" style="68"/>
    <col min="10241" max="10241" width="6.28515625" style="68" customWidth="1"/>
    <col min="10242" max="10242" width="2.140625" style="68" customWidth="1"/>
    <col min="10243" max="10243" width="5.140625" style="68" customWidth="1"/>
    <col min="10244" max="10245" width="11.42578125" style="68"/>
    <col min="10246" max="10246" width="21.42578125" style="68" customWidth="1"/>
    <col min="10247" max="10249" width="11.42578125" style="68"/>
    <col min="10250" max="10251" width="3.42578125" style="68" customWidth="1"/>
    <col min="10252" max="10496" width="11.42578125" style="68"/>
    <col min="10497" max="10497" width="6.28515625" style="68" customWidth="1"/>
    <col min="10498" max="10498" width="2.140625" style="68" customWidth="1"/>
    <col min="10499" max="10499" width="5.140625" style="68" customWidth="1"/>
    <col min="10500" max="10501" width="11.42578125" style="68"/>
    <col min="10502" max="10502" width="21.42578125" style="68" customWidth="1"/>
    <col min="10503" max="10505" width="11.42578125" style="68"/>
    <col min="10506" max="10507" width="3.42578125" style="68" customWidth="1"/>
    <col min="10508" max="10752" width="11.42578125" style="68"/>
    <col min="10753" max="10753" width="6.28515625" style="68" customWidth="1"/>
    <col min="10754" max="10754" width="2.140625" style="68" customWidth="1"/>
    <col min="10755" max="10755" width="5.140625" style="68" customWidth="1"/>
    <col min="10756" max="10757" width="11.42578125" style="68"/>
    <col min="10758" max="10758" width="21.42578125" style="68" customWidth="1"/>
    <col min="10759" max="10761" width="11.42578125" style="68"/>
    <col min="10762" max="10763" width="3.42578125" style="68" customWidth="1"/>
    <col min="10764" max="11008" width="11.42578125" style="68"/>
    <col min="11009" max="11009" width="6.28515625" style="68" customWidth="1"/>
    <col min="11010" max="11010" width="2.140625" style="68" customWidth="1"/>
    <col min="11011" max="11011" width="5.140625" style="68" customWidth="1"/>
    <col min="11012" max="11013" width="11.42578125" style="68"/>
    <col min="11014" max="11014" width="21.42578125" style="68" customWidth="1"/>
    <col min="11015" max="11017" width="11.42578125" style="68"/>
    <col min="11018" max="11019" width="3.42578125" style="68" customWidth="1"/>
    <col min="11020" max="11264" width="11.42578125" style="68"/>
    <col min="11265" max="11265" width="6.28515625" style="68" customWidth="1"/>
    <col min="11266" max="11266" width="2.140625" style="68" customWidth="1"/>
    <col min="11267" max="11267" width="5.140625" style="68" customWidth="1"/>
    <col min="11268" max="11269" width="11.42578125" style="68"/>
    <col min="11270" max="11270" width="21.42578125" style="68" customWidth="1"/>
    <col min="11271" max="11273" width="11.42578125" style="68"/>
    <col min="11274" max="11275" width="3.42578125" style="68" customWidth="1"/>
    <col min="11276" max="11520" width="11.42578125" style="68"/>
    <col min="11521" max="11521" width="6.28515625" style="68" customWidth="1"/>
    <col min="11522" max="11522" width="2.140625" style="68" customWidth="1"/>
    <col min="11523" max="11523" width="5.140625" style="68" customWidth="1"/>
    <col min="11524" max="11525" width="11.42578125" style="68"/>
    <col min="11526" max="11526" width="21.42578125" style="68" customWidth="1"/>
    <col min="11527" max="11529" width="11.42578125" style="68"/>
    <col min="11530" max="11531" width="3.42578125" style="68" customWidth="1"/>
    <col min="11532" max="11776" width="11.42578125" style="68"/>
    <col min="11777" max="11777" width="6.28515625" style="68" customWidth="1"/>
    <col min="11778" max="11778" width="2.140625" style="68" customWidth="1"/>
    <col min="11779" max="11779" width="5.140625" style="68" customWidth="1"/>
    <col min="11780" max="11781" width="11.42578125" style="68"/>
    <col min="11782" max="11782" width="21.42578125" style="68" customWidth="1"/>
    <col min="11783" max="11785" width="11.42578125" style="68"/>
    <col min="11786" max="11787" width="3.42578125" style="68" customWidth="1"/>
    <col min="11788" max="12032" width="11.42578125" style="68"/>
    <col min="12033" max="12033" width="6.28515625" style="68" customWidth="1"/>
    <col min="12034" max="12034" width="2.140625" style="68" customWidth="1"/>
    <col min="12035" max="12035" width="5.140625" style="68" customWidth="1"/>
    <col min="12036" max="12037" width="11.42578125" style="68"/>
    <col min="12038" max="12038" width="21.42578125" style="68" customWidth="1"/>
    <col min="12039" max="12041" width="11.42578125" style="68"/>
    <col min="12042" max="12043" width="3.42578125" style="68" customWidth="1"/>
    <col min="12044" max="12288" width="11.42578125" style="68"/>
    <col min="12289" max="12289" width="6.28515625" style="68" customWidth="1"/>
    <col min="12290" max="12290" width="2.140625" style="68" customWidth="1"/>
    <col min="12291" max="12291" width="5.140625" style="68" customWidth="1"/>
    <col min="12292" max="12293" width="11.42578125" style="68"/>
    <col min="12294" max="12294" width="21.42578125" style="68" customWidth="1"/>
    <col min="12295" max="12297" width="11.42578125" style="68"/>
    <col min="12298" max="12299" width="3.42578125" style="68" customWidth="1"/>
    <col min="12300" max="12544" width="11.42578125" style="68"/>
    <col min="12545" max="12545" width="6.28515625" style="68" customWidth="1"/>
    <col min="12546" max="12546" width="2.140625" style="68" customWidth="1"/>
    <col min="12547" max="12547" width="5.140625" style="68" customWidth="1"/>
    <col min="12548" max="12549" width="11.42578125" style="68"/>
    <col min="12550" max="12550" width="21.42578125" style="68" customWidth="1"/>
    <col min="12551" max="12553" width="11.42578125" style="68"/>
    <col min="12554" max="12555" width="3.42578125" style="68" customWidth="1"/>
    <col min="12556" max="12800" width="11.42578125" style="68"/>
    <col min="12801" max="12801" width="6.28515625" style="68" customWidth="1"/>
    <col min="12802" max="12802" width="2.140625" style="68" customWidth="1"/>
    <col min="12803" max="12803" width="5.140625" style="68" customWidth="1"/>
    <col min="12804" max="12805" width="11.42578125" style="68"/>
    <col min="12806" max="12806" width="21.42578125" style="68" customWidth="1"/>
    <col min="12807" max="12809" width="11.42578125" style="68"/>
    <col min="12810" max="12811" width="3.42578125" style="68" customWidth="1"/>
    <col min="12812" max="13056" width="11.42578125" style="68"/>
    <col min="13057" max="13057" width="6.28515625" style="68" customWidth="1"/>
    <col min="13058" max="13058" width="2.140625" style="68" customWidth="1"/>
    <col min="13059" max="13059" width="5.140625" style="68" customWidth="1"/>
    <col min="13060" max="13061" width="11.42578125" style="68"/>
    <col min="13062" max="13062" width="21.42578125" style="68" customWidth="1"/>
    <col min="13063" max="13065" width="11.42578125" style="68"/>
    <col min="13066" max="13067" width="3.42578125" style="68" customWidth="1"/>
    <col min="13068" max="13312" width="11.42578125" style="68"/>
    <col min="13313" max="13313" width="6.28515625" style="68" customWidth="1"/>
    <col min="13314" max="13314" width="2.140625" style="68" customWidth="1"/>
    <col min="13315" max="13315" width="5.140625" style="68" customWidth="1"/>
    <col min="13316" max="13317" width="11.42578125" style="68"/>
    <col min="13318" max="13318" width="21.42578125" style="68" customWidth="1"/>
    <col min="13319" max="13321" width="11.42578125" style="68"/>
    <col min="13322" max="13323" width="3.42578125" style="68" customWidth="1"/>
    <col min="13324" max="13568" width="11.42578125" style="68"/>
    <col min="13569" max="13569" width="6.28515625" style="68" customWidth="1"/>
    <col min="13570" max="13570" width="2.140625" style="68" customWidth="1"/>
    <col min="13571" max="13571" width="5.140625" style="68" customWidth="1"/>
    <col min="13572" max="13573" width="11.42578125" style="68"/>
    <col min="13574" max="13574" width="21.42578125" style="68" customWidth="1"/>
    <col min="13575" max="13577" width="11.42578125" style="68"/>
    <col min="13578" max="13579" width="3.42578125" style="68" customWidth="1"/>
    <col min="13580" max="13824" width="11.42578125" style="68"/>
    <col min="13825" max="13825" width="6.28515625" style="68" customWidth="1"/>
    <col min="13826" max="13826" width="2.140625" style="68" customWidth="1"/>
    <col min="13827" max="13827" width="5.140625" style="68" customWidth="1"/>
    <col min="13828" max="13829" width="11.42578125" style="68"/>
    <col min="13830" max="13830" width="21.42578125" style="68" customWidth="1"/>
    <col min="13831" max="13833" width="11.42578125" style="68"/>
    <col min="13834" max="13835" width="3.42578125" style="68" customWidth="1"/>
    <col min="13836" max="14080" width="11.42578125" style="68"/>
    <col min="14081" max="14081" width="6.28515625" style="68" customWidth="1"/>
    <col min="14082" max="14082" width="2.140625" style="68" customWidth="1"/>
    <col min="14083" max="14083" width="5.140625" style="68" customWidth="1"/>
    <col min="14084" max="14085" width="11.42578125" style="68"/>
    <col min="14086" max="14086" width="21.42578125" style="68" customWidth="1"/>
    <col min="14087" max="14089" width="11.42578125" style="68"/>
    <col min="14090" max="14091" width="3.42578125" style="68" customWidth="1"/>
    <col min="14092" max="14336" width="11.42578125" style="68"/>
    <col min="14337" max="14337" width="6.28515625" style="68" customWidth="1"/>
    <col min="14338" max="14338" width="2.140625" style="68" customWidth="1"/>
    <col min="14339" max="14339" width="5.140625" style="68" customWidth="1"/>
    <col min="14340" max="14341" width="11.42578125" style="68"/>
    <col min="14342" max="14342" width="21.42578125" style="68" customWidth="1"/>
    <col min="14343" max="14345" width="11.42578125" style="68"/>
    <col min="14346" max="14347" width="3.42578125" style="68" customWidth="1"/>
    <col min="14348" max="14592" width="11.42578125" style="68"/>
    <col min="14593" max="14593" width="6.28515625" style="68" customWidth="1"/>
    <col min="14594" max="14594" width="2.140625" style="68" customWidth="1"/>
    <col min="14595" max="14595" width="5.140625" style="68" customWidth="1"/>
    <col min="14596" max="14597" width="11.42578125" style="68"/>
    <col min="14598" max="14598" width="21.42578125" style="68" customWidth="1"/>
    <col min="14599" max="14601" width="11.42578125" style="68"/>
    <col min="14602" max="14603" width="3.42578125" style="68" customWidth="1"/>
    <col min="14604" max="14848" width="11.42578125" style="68"/>
    <col min="14849" max="14849" width="6.28515625" style="68" customWidth="1"/>
    <col min="14850" max="14850" width="2.140625" style="68" customWidth="1"/>
    <col min="14851" max="14851" width="5.140625" style="68" customWidth="1"/>
    <col min="14852" max="14853" width="11.42578125" style="68"/>
    <col min="14854" max="14854" width="21.42578125" style="68" customWidth="1"/>
    <col min="14855" max="14857" width="11.42578125" style="68"/>
    <col min="14858" max="14859" width="3.42578125" style="68" customWidth="1"/>
    <col min="14860" max="15104" width="11.42578125" style="68"/>
    <col min="15105" max="15105" width="6.28515625" style="68" customWidth="1"/>
    <col min="15106" max="15106" width="2.140625" style="68" customWidth="1"/>
    <col min="15107" max="15107" width="5.140625" style="68" customWidth="1"/>
    <col min="15108" max="15109" width="11.42578125" style="68"/>
    <col min="15110" max="15110" width="21.42578125" style="68" customWidth="1"/>
    <col min="15111" max="15113" width="11.42578125" style="68"/>
    <col min="15114" max="15115" width="3.42578125" style="68" customWidth="1"/>
    <col min="15116" max="15360" width="11.42578125" style="68"/>
    <col min="15361" max="15361" width="6.28515625" style="68" customWidth="1"/>
    <col min="15362" max="15362" width="2.140625" style="68" customWidth="1"/>
    <col min="15363" max="15363" width="5.140625" style="68" customWidth="1"/>
    <col min="15364" max="15365" width="11.42578125" style="68"/>
    <col min="15366" max="15366" width="21.42578125" style="68" customWidth="1"/>
    <col min="15367" max="15369" width="11.42578125" style="68"/>
    <col min="15370" max="15371" width="3.42578125" style="68" customWidth="1"/>
    <col min="15372" max="15616" width="11.42578125" style="68"/>
    <col min="15617" max="15617" width="6.28515625" style="68" customWidth="1"/>
    <col min="15618" max="15618" width="2.140625" style="68" customWidth="1"/>
    <col min="15619" max="15619" width="5.140625" style="68" customWidth="1"/>
    <col min="15620" max="15621" width="11.42578125" style="68"/>
    <col min="15622" max="15622" width="21.42578125" style="68" customWidth="1"/>
    <col min="15623" max="15625" width="11.42578125" style="68"/>
    <col min="15626" max="15627" width="3.42578125" style="68" customWidth="1"/>
    <col min="15628" max="15872" width="11.42578125" style="68"/>
    <col min="15873" max="15873" width="6.28515625" style="68" customWidth="1"/>
    <col min="15874" max="15874" width="2.140625" style="68" customWidth="1"/>
    <col min="15875" max="15875" width="5.140625" style="68" customWidth="1"/>
    <col min="15876" max="15877" width="11.42578125" style="68"/>
    <col min="15878" max="15878" width="21.42578125" style="68" customWidth="1"/>
    <col min="15879" max="15881" width="11.42578125" style="68"/>
    <col min="15882" max="15883" width="3.42578125" style="68" customWidth="1"/>
    <col min="15884" max="16128" width="11.42578125" style="68"/>
    <col min="16129" max="16129" width="6.28515625" style="68" customWidth="1"/>
    <col min="16130" max="16130" width="2.140625" style="68" customWidth="1"/>
    <col min="16131" max="16131" width="5.140625" style="68" customWidth="1"/>
    <col min="16132" max="16133" width="11.42578125" style="68"/>
    <col min="16134" max="16134" width="21.42578125" style="68" customWidth="1"/>
    <col min="16135" max="16137" width="11.42578125" style="68"/>
    <col min="16138" max="16139" width="3.42578125" style="68" customWidth="1"/>
    <col min="16140" max="16384" width="11.42578125" style="68"/>
  </cols>
  <sheetData>
    <row r="1" spans="1:11" x14ac:dyDescent="0.2">
      <c r="A1" s="108"/>
      <c r="B1" s="108"/>
      <c r="C1" s="108"/>
      <c r="D1" s="108"/>
      <c r="E1" s="108"/>
      <c r="F1" s="108"/>
      <c r="G1" s="108"/>
      <c r="H1" s="108"/>
      <c r="I1" s="108"/>
      <c r="J1" s="108"/>
      <c r="K1" s="108"/>
    </row>
    <row r="2" spans="1:11" ht="38.25" customHeight="1" x14ac:dyDescent="0.25">
      <c r="A2" s="373" t="s">
        <v>139</v>
      </c>
      <c r="B2" s="374"/>
      <c r="C2" s="374"/>
      <c r="D2" s="374"/>
      <c r="E2" s="374"/>
      <c r="F2" s="374"/>
      <c r="G2" s="374"/>
      <c r="H2" s="374"/>
      <c r="I2" s="374"/>
      <c r="J2" s="374"/>
      <c r="K2" s="374"/>
    </row>
    <row r="3" spans="1:11" ht="10.5" customHeight="1" x14ac:dyDescent="0.2">
      <c r="A3" s="108"/>
      <c r="B3" s="108"/>
      <c r="C3" s="108"/>
      <c r="D3" s="108"/>
      <c r="E3" s="108"/>
      <c r="F3" s="108"/>
      <c r="G3" s="108"/>
      <c r="H3" s="108"/>
      <c r="I3" s="108"/>
      <c r="J3" s="108"/>
      <c r="K3" s="108"/>
    </row>
    <row r="4" spans="1:11" ht="12" customHeight="1" x14ac:dyDescent="0.2">
      <c r="A4" s="108"/>
      <c r="B4" s="108"/>
      <c r="C4" s="109"/>
      <c r="D4" s="109"/>
      <c r="E4" s="109"/>
      <c r="F4" s="110"/>
      <c r="G4" s="109"/>
      <c r="H4" s="109"/>
      <c r="I4" s="109"/>
      <c r="J4" s="108"/>
      <c r="K4" s="108"/>
    </row>
    <row r="5" spans="1:11" ht="17.25" customHeight="1" x14ac:dyDescent="0.2">
      <c r="A5" s="108"/>
      <c r="B5" s="108"/>
      <c r="C5" s="108"/>
      <c r="D5" s="108"/>
      <c r="E5" s="108"/>
      <c r="F5" s="108"/>
      <c r="G5" s="108"/>
      <c r="H5" s="108"/>
      <c r="I5" s="108"/>
      <c r="J5" s="108"/>
      <c r="K5" s="108"/>
    </row>
    <row r="6" spans="1:11" ht="4.5" customHeight="1" x14ac:dyDescent="0.2">
      <c r="A6" s="108"/>
      <c r="B6" s="108"/>
      <c r="C6" s="108"/>
      <c r="D6" s="108"/>
      <c r="E6" s="108"/>
      <c r="F6" s="108"/>
      <c r="G6" s="108"/>
      <c r="H6" s="108"/>
      <c r="I6" s="108"/>
      <c r="J6" s="108"/>
      <c r="K6" s="108"/>
    </row>
    <row r="7" spans="1:11" ht="15.75" customHeight="1" x14ac:dyDescent="0.2">
      <c r="A7" s="371" t="s">
        <v>145</v>
      </c>
      <c r="B7" s="371"/>
      <c r="C7" s="371"/>
      <c r="D7" s="371"/>
      <c r="E7" s="371"/>
      <c r="F7" s="371"/>
      <c r="G7" s="371"/>
      <c r="H7" s="371"/>
      <c r="I7" s="371"/>
      <c r="J7" s="371"/>
      <c r="K7" s="371"/>
    </row>
    <row r="8" spans="1:11" ht="6.75" customHeight="1" x14ac:dyDescent="0.2">
      <c r="A8" s="119"/>
      <c r="B8" s="119"/>
      <c r="C8" s="119"/>
      <c r="D8" s="119"/>
      <c r="E8" s="119"/>
      <c r="F8" s="119"/>
      <c r="G8" s="119"/>
      <c r="H8" s="119"/>
      <c r="I8" s="119"/>
      <c r="J8" s="119"/>
      <c r="K8" s="119"/>
    </row>
    <row r="9" spans="1:11" ht="12.75" customHeight="1" x14ac:dyDescent="0.25">
      <c r="A9" s="119"/>
      <c r="B9" s="119"/>
      <c r="C9" s="119"/>
      <c r="D9" s="136" t="s">
        <v>147</v>
      </c>
      <c r="E9" s="136"/>
      <c r="F9" s="136"/>
      <c r="G9" s="137">
        <v>8</v>
      </c>
      <c r="H9" s="136" t="s">
        <v>141</v>
      </c>
      <c r="I9" s="136" t="s">
        <v>142</v>
      </c>
      <c r="J9" s="136"/>
      <c r="K9" s="119"/>
    </row>
    <row r="10" spans="1:11" ht="4.5" customHeight="1" x14ac:dyDescent="0.25">
      <c r="A10" s="119"/>
      <c r="B10" s="119"/>
      <c r="C10" s="119"/>
      <c r="D10" s="136"/>
      <c r="E10" s="136"/>
      <c r="F10" s="136"/>
      <c r="G10" s="144"/>
      <c r="H10" s="136"/>
      <c r="I10" s="136"/>
      <c r="J10" s="136"/>
      <c r="K10" s="119"/>
    </row>
    <row r="11" spans="1:11" ht="13.5" customHeight="1" x14ac:dyDescent="0.25">
      <c r="A11" s="119"/>
      <c r="B11" s="119"/>
      <c r="C11" s="119"/>
      <c r="D11" s="136"/>
      <c r="E11" s="136"/>
      <c r="F11" s="136"/>
      <c r="G11" s="137">
        <v>8</v>
      </c>
      <c r="H11" s="136" t="s">
        <v>141</v>
      </c>
      <c r="I11" s="136" t="s">
        <v>144</v>
      </c>
      <c r="J11" s="136"/>
      <c r="K11" s="119"/>
    </row>
    <row r="12" spans="1:11" s="108" customFormat="1" ht="6" customHeight="1" x14ac:dyDescent="0.25">
      <c r="A12" s="119"/>
      <c r="B12" s="119"/>
      <c r="C12" s="119"/>
      <c r="D12" s="136"/>
      <c r="E12" s="136"/>
      <c r="F12" s="136"/>
      <c r="G12" s="144"/>
      <c r="H12" s="136"/>
      <c r="I12" s="136"/>
      <c r="J12" s="136"/>
      <c r="K12" s="119"/>
    </row>
    <row r="13" spans="1:11" ht="15" customHeight="1" x14ac:dyDescent="0.25">
      <c r="A13" s="119"/>
      <c r="B13" s="119"/>
      <c r="C13" s="119"/>
      <c r="D13" s="136"/>
      <c r="E13" s="136"/>
      <c r="F13" s="136"/>
      <c r="G13" s="137">
        <v>300</v>
      </c>
      <c r="H13" s="136" t="s">
        <v>143</v>
      </c>
      <c r="I13" s="136"/>
      <c r="J13" s="136"/>
      <c r="K13" s="119"/>
    </row>
    <row r="14" spans="1:11" ht="12.75" customHeight="1" x14ac:dyDescent="0.2">
      <c r="A14" s="136"/>
      <c r="B14" s="136"/>
      <c r="C14" s="136"/>
      <c r="D14" s="136"/>
      <c r="E14" s="136"/>
      <c r="F14" s="136"/>
      <c r="G14" s="136"/>
      <c r="H14" s="165"/>
      <c r="I14" s="164"/>
      <c r="J14" s="136"/>
      <c r="K14" s="136"/>
    </row>
    <row r="15" spans="1:11" ht="12.75" customHeight="1" x14ac:dyDescent="0.2">
      <c r="A15" s="371" t="s">
        <v>239</v>
      </c>
      <c r="B15" s="371"/>
      <c r="C15" s="371"/>
      <c r="D15" s="371"/>
      <c r="E15" s="371"/>
      <c r="F15" s="371"/>
      <c r="G15" s="371"/>
      <c r="H15" s="371"/>
      <c r="I15" s="371"/>
      <c r="J15" s="371"/>
      <c r="K15" s="371"/>
    </row>
    <row r="16" spans="1:11" ht="12.75" customHeight="1" x14ac:dyDescent="0.2">
      <c r="A16" s="136"/>
      <c r="B16" s="136"/>
      <c r="C16" s="136"/>
      <c r="D16" s="136"/>
      <c r="E16" s="136"/>
      <c r="F16" s="136"/>
      <c r="G16" s="136"/>
      <c r="H16" s="165"/>
      <c r="I16" s="164"/>
      <c r="J16" s="136"/>
      <c r="K16" s="136"/>
    </row>
    <row r="17" spans="1:11" ht="12.75" customHeight="1" x14ac:dyDescent="0.25">
      <c r="A17" s="136"/>
      <c r="B17" s="136"/>
      <c r="C17" s="136"/>
      <c r="D17" s="136" t="s">
        <v>240</v>
      </c>
      <c r="E17" s="136"/>
      <c r="F17" s="136"/>
      <c r="G17" s="137">
        <v>6</v>
      </c>
      <c r="H17" s="136" t="s">
        <v>141</v>
      </c>
      <c r="I17" s="136" t="s">
        <v>142</v>
      </c>
      <c r="J17" s="136"/>
      <c r="K17" s="119"/>
    </row>
    <row r="18" spans="1:11" ht="15" customHeight="1" x14ac:dyDescent="0.25">
      <c r="A18" s="136"/>
      <c r="B18" s="136"/>
      <c r="C18" s="136"/>
      <c r="D18" s="372" t="s">
        <v>241</v>
      </c>
      <c r="E18" s="372"/>
      <c r="F18" s="372"/>
      <c r="G18" s="144"/>
      <c r="H18" s="136"/>
      <c r="I18" s="136"/>
      <c r="J18" s="136"/>
      <c r="K18" s="119"/>
    </row>
    <row r="19" spans="1:11" ht="12.75" customHeight="1" x14ac:dyDescent="0.25">
      <c r="A19" s="136"/>
      <c r="B19" s="136"/>
      <c r="C19" s="136"/>
      <c r="D19" s="372"/>
      <c r="E19" s="372"/>
      <c r="F19" s="372"/>
      <c r="G19" s="137">
        <v>6</v>
      </c>
      <c r="H19" s="136" t="s">
        <v>141</v>
      </c>
      <c r="I19" s="136" t="s">
        <v>144</v>
      </c>
      <c r="J19" s="136"/>
      <c r="K19" s="119"/>
    </row>
    <row r="20" spans="1:11" ht="12.75" customHeight="1" x14ac:dyDescent="0.25">
      <c r="A20" s="136"/>
      <c r="B20" s="136"/>
      <c r="C20" s="136"/>
      <c r="D20" s="136"/>
      <c r="E20" s="136"/>
      <c r="F20" s="136"/>
      <c r="G20" s="144"/>
      <c r="H20" s="136"/>
      <c r="I20" s="136"/>
      <c r="J20" s="136"/>
      <c r="K20" s="119"/>
    </row>
    <row r="21" spans="1:11" ht="12.75" customHeight="1" x14ac:dyDescent="0.25">
      <c r="A21" s="136"/>
      <c r="B21" s="136"/>
      <c r="C21" s="136"/>
      <c r="D21" s="136"/>
      <c r="E21" s="136"/>
      <c r="F21" s="136"/>
      <c r="G21" s="137">
        <v>200</v>
      </c>
      <c r="H21" s="136" t="s">
        <v>143</v>
      </c>
      <c r="I21" s="136"/>
      <c r="J21" s="136"/>
      <c r="K21" s="119"/>
    </row>
    <row r="22" spans="1:11" ht="3" customHeight="1" x14ac:dyDescent="0.25">
      <c r="A22" s="136"/>
      <c r="B22" s="136"/>
      <c r="C22" s="136"/>
      <c r="D22" s="136"/>
      <c r="E22" s="136"/>
      <c r="F22" s="136"/>
      <c r="G22" s="144"/>
      <c r="H22" s="136"/>
      <c r="I22" s="136"/>
      <c r="J22" s="136"/>
      <c r="K22" s="119"/>
    </row>
    <row r="23" spans="1:11" ht="12.75" customHeight="1" x14ac:dyDescent="0.25">
      <c r="A23" s="136"/>
      <c r="B23" s="136"/>
      <c r="C23" s="136"/>
      <c r="D23" s="136"/>
      <c r="E23" s="136"/>
      <c r="F23" s="136"/>
      <c r="G23" s="144"/>
      <c r="H23" s="136"/>
      <c r="I23" s="181" t="str">
        <f>IF(G9="","",IF(G21*(G19+G17)&gt;=G13*(G11+G9),"Error! No pueden estar encendidas las lámparas más horas al año que actualmente!",""))</f>
        <v/>
      </c>
      <c r="J23" s="136"/>
      <c r="K23" s="119"/>
    </row>
    <row r="24" spans="1:11" ht="12.75" customHeight="1" x14ac:dyDescent="0.25">
      <c r="A24" s="136"/>
      <c r="B24" s="136"/>
      <c r="C24" s="136"/>
      <c r="D24" s="136"/>
      <c r="E24" s="136"/>
      <c r="F24" s="136"/>
      <c r="G24" s="144"/>
      <c r="H24" s="136"/>
      <c r="I24" s="136"/>
      <c r="J24" s="136"/>
      <c r="K24" s="119"/>
    </row>
    <row r="25" spans="1:11" ht="15.75" customHeight="1" x14ac:dyDescent="0.2">
      <c r="A25" s="371" t="s">
        <v>187</v>
      </c>
      <c r="B25" s="371"/>
      <c r="C25" s="371"/>
      <c r="D25" s="371"/>
      <c r="E25" s="371"/>
      <c r="F25" s="371"/>
      <c r="G25" s="371"/>
      <c r="H25" s="371"/>
      <c r="I25" s="371"/>
      <c r="J25" s="371"/>
      <c r="K25" s="371"/>
    </row>
    <row r="26" spans="1:11" ht="7.5" customHeight="1" x14ac:dyDescent="0.2">
      <c r="A26" s="136"/>
      <c r="B26" s="136"/>
      <c r="C26" s="136"/>
      <c r="D26" s="136"/>
      <c r="E26" s="136"/>
      <c r="F26" s="136"/>
      <c r="G26" s="154"/>
      <c r="H26" s="136"/>
      <c r="I26" s="136"/>
      <c r="J26" s="136"/>
      <c r="K26" s="136"/>
    </row>
    <row r="27" spans="1:11" ht="14.25" x14ac:dyDescent="0.2">
      <c r="A27" s="136"/>
      <c r="B27" s="136"/>
      <c r="C27" s="136"/>
      <c r="D27" s="136" t="s">
        <v>188</v>
      </c>
      <c r="E27" s="136"/>
      <c r="F27" s="136"/>
      <c r="G27" s="136"/>
      <c r="H27" s="136"/>
      <c r="I27" s="136"/>
      <c r="J27" s="136"/>
      <c r="K27" s="136"/>
    </row>
    <row r="28" spans="1:11" ht="3.75" customHeight="1" x14ac:dyDescent="0.2">
      <c r="A28" s="136"/>
      <c r="B28" s="136"/>
      <c r="C28" s="136"/>
      <c r="D28" s="136"/>
      <c r="E28" s="136"/>
      <c r="F28" s="136"/>
      <c r="G28" s="136"/>
      <c r="H28" s="136"/>
      <c r="I28" s="136"/>
      <c r="J28" s="136"/>
      <c r="K28" s="136"/>
    </row>
    <row r="29" spans="1:11" ht="14.25" x14ac:dyDescent="0.2">
      <c r="A29" s="136"/>
      <c r="B29" s="136"/>
      <c r="C29" s="136"/>
      <c r="D29" s="136" t="s">
        <v>189</v>
      </c>
      <c r="E29" s="136"/>
      <c r="F29" s="136"/>
      <c r="G29" s="136"/>
      <c r="H29" s="136"/>
      <c r="I29" s="136"/>
      <c r="J29" s="136"/>
      <c r="K29" s="136"/>
    </row>
    <row r="30" spans="1:11" ht="14.25" customHeight="1" x14ac:dyDescent="0.2">
      <c r="A30" s="136"/>
      <c r="B30" s="136"/>
      <c r="C30" s="136"/>
      <c r="D30" s="136"/>
      <c r="E30" s="136"/>
      <c r="F30" s="136"/>
      <c r="G30" s="149"/>
      <c r="H30" s="148"/>
      <c r="I30" s="147" t="str">
        <f>IF('detector presencia'!D23&lt;2,IF('detector presencia'!C11&lt;4,"",IF('detector presencia'!C11=8,"","(Ojo, las lámparas fluorescentes requieren de un balastro!)")),IF('detector presencia'!C11&lt;4,"(Ojo, las lámparas incandescentes y halógenas funcionan sin balastro!)",""))</f>
        <v/>
      </c>
      <c r="J30" s="136"/>
      <c r="K30" s="136"/>
    </row>
    <row r="31" spans="1:11" ht="15" x14ac:dyDescent="0.25">
      <c r="A31" s="136"/>
      <c r="B31" s="136"/>
      <c r="C31" s="136"/>
      <c r="D31" s="136" t="s">
        <v>190</v>
      </c>
      <c r="E31" s="136"/>
      <c r="F31" s="136"/>
      <c r="G31" s="137">
        <v>32</v>
      </c>
      <c r="H31" s="136" t="s">
        <v>84</v>
      </c>
      <c r="I31" s="136"/>
      <c r="J31" s="136"/>
      <c r="K31" s="136"/>
    </row>
    <row r="32" spans="1:11" ht="14.25" customHeight="1" x14ac:dyDescent="0.2">
      <c r="A32" s="136"/>
      <c r="B32" s="136"/>
      <c r="C32" s="136"/>
      <c r="D32" s="136"/>
      <c r="E32" s="136"/>
      <c r="F32" s="136"/>
      <c r="G32" s="145"/>
      <c r="H32" s="136"/>
      <c r="I32" s="136"/>
      <c r="J32" s="136"/>
      <c r="K32" s="136"/>
    </row>
    <row r="33" spans="1:11" ht="15" x14ac:dyDescent="0.25">
      <c r="A33" s="136"/>
      <c r="B33" s="136"/>
      <c r="C33" s="136"/>
      <c r="D33" s="136" t="s">
        <v>191</v>
      </c>
      <c r="E33" s="136"/>
      <c r="F33" s="136"/>
      <c r="G33" s="137">
        <v>20</v>
      </c>
      <c r="H33" s="136" t="s">
        <v>192</v>
      </c>
      <c r="I33" s="136"/>
      <c r="J33" s="136"/>
      <c r="K33" s="136"/>
    </row>
    <row r="34" spans="1:11" ht="3.75" customHeight="1" x14ac:dyDescent="0.2">
      <c r="A34" s="136"/>
      <c r="B34" s="136"/>
      <c r="C34" s="136"/>
      <c r="D34" s="136"/>
      <c r="E34" s="136"/>
      <c r="F34" s="136"/>
      <c r="G34" s="145"/>
      <c r="H34" s="136"/>
      <c r="I34" s="136"/>
      <c r="J34" s="136"/>
      <c r="K34" s="136"/>
    </row>
    <row r="35" spans="1:11" ht="15" x14ac:dyDescent="0.25">
      <c r="A35" s="136"/>
      <c r="B35" s="136"/>
      <c r="C35" s="136"/>
      <c r="D35" s="136" t="s">
        <v>194</v>
      </c>
      <c r="E35" s="136"/>
      <c r="F35" s="136"/>
      <c r="G35" s="137">
        <v>1000</v>
      </c>
      <c r="H35" s="136" t="s">
        <v>218</v>
      </c>
      <c r="I35" s="136" t="str">
        <f>IF(G35='detector presencia'!B44,"(Precio indicativo)","")</f>
        <v/>
      </c>
      <c r="J35" s="136"/>
      <c r="K35" s="136"/>
    </row>
    <row r="36" spans="1:11" ht="4.5" customHeight="1" x14ac:dyDescent="0.2">
      <c r="A36" s="136"/>
      <c r="B36" s="136"/>
      <c r="C36" s="136"/>
      <c r="D36" s="150"/>
      <c r="E36" s="136"/>
      <c r="F36" s="136"/>
      <c r="G36" s="153" t="str">
        <f>IF(OR('detector presencia'!B44="x",'detector presencia'!B44="?")=TRUE,'detector presencia'!B44,'detector presencia'!B44*0.65)</f>
        <v>?</v>
      </c>
      <c r="H36" s="154" t="s">
        <v>193</v>
      </c>
      <c r="I36" s="136"/>
      <c r="J36" s="136"/>
      <c r="K36" s="136"/>
    </row>
    <row r="37" spans="1:11" ht="15" hidden="1" customHeight="1" x14ac:dyDescent="0.2">
      <c r="A37" s="136"/>
      <c r="B37" s="136"/>
      <c r="C37" s="136"/>
      <c r="D37" s="136"/>
      <c r="E37" s="136"/>
      <c r="F37" s="136"/>
      <c r="G37" s="169" t="str">
        <f>IF(G36="?","La herramients desconoce el precio de esta lámpara,",IF(G36="x","Esta potencia es desconocida,",""))</f>
        <v>La herramients desconoce el precio de esta lámpara,</v>
      </c>
      <c r="H37" s="148"/>
      <c r="I37" s="136"/>
      <c r="J37" s="136"/>
      <c r="K37" s="136"/>
    </row>
    <row r="38" spans="1:11" ht="13.5" hidden="1" customHeight="1" x14ac:dyDescent="0.2">
      <c r="A38" s="136"/>
      <c r="B38" s="136"/>
      <c r="C38" s="136"/>
      <c r="D38" s="136"/>
      <c r="E38" s="136"/>
      <c r="F38" s="136"/>
      <c r="G38" s="169" t="str">
        <f>IF(G36="?","Indicar el precio de la lámpara",IF(G36="x","Verificar la potencia o indicar el precio correspondiente",""))</f>
        <v>Indicar el precio de la lámpara</v>
      </c>
      <c r="H38" s="148"/>
      <c r="I38" s="136"/>
      <c r="J38" s="136"/>
      <c r="K38" s="136"/>
    </row>
    <row r="39" spans="1:11" ht="3" customHeight="1" x14ac:dyDescent="0.2">
      <c r="A39" s="136"/>
      <c r="B39" s="136"/>
      <c r="C39" s="136"/>
      <c r="D39" s="136"/>
      <c r="E39" s="136"/>
      <c r="F39" s="136"/>
      <c r="G39" s="151"/>
      <c r="H39" s="148"/>
      <c r="I39" s="136"/>
      <c r="J39" s="136"/>
      <c r="K39" s="136"/>
    </row>
    <row r="40" spans="1:11" ht="14.25" x14ac:dyDescent="0.2">
      <c r="A40" s="136"/>
      <c r="B40" s="136"/>
      <c r="C40" s="136"/>
      <c r="D40" s="136" t="s">
        <v>195</v>
      </c>
      <c r="E40" s="136"/>
      <c r="F40" s="136"/>
      <c r="G40" s="151"/>
      <c r="H40" s="149"/>
      <c r="I40" s="136"/>
      <c r="J40" s="136"/>
      <c r="K40" s="136"/>
    </row>
    <row r="41" spans="1:11" ht="15" x14ac:dyDescent="0.25">
      <c r="A41" s="136"/>
      <c r="B41" s="136"/>
      <c r="C41" s="136"/>
      <c r="D41" s="136" t="s">
        <v>196</v>
      </c>
      <c r="E41" s="136"/>
      <c r="F41" s="136"/>
      <c r="G41" s="137">
        <v>20</v>
      </c>
      <c r="H41" s="136" t="s">
        <v>218</v>
      </c>
      <c r="I41" s="136"/>
      <c r="J41" s="136"/>
      <c r="K41" s="136"/>
    </row>
    <row r="42" spans="1:11" ht="12.75" customHeight="1" x14ac:dyDescent="0.2">
      <c r="A42" s="136"/>
      <c r="B42" s="136"/>
      <c r="C42" s="136"/>
      <c r="D42" s="150" t="s">
        <v>335</v>
      </c>
      <c r="E42" s="136"/>
      <c r="F42" s="136"/>
      <c r="G42" s="152">
        <v>20</v>
      </c>
      <c r="H42" s="136" t="s">
        <v>218</v>
      </c>
      <c r="I42" s="136"/>
      <c r="J42" s="136"/>
      <c r="K42" s="136"/>
    </row>
    <row r="43" spans="1:11" ht="12.75" customHeight="1" x14ac:dyDescent="0.2">
      <c r="A43" s="108"/>
      <c r="B43" s="108"/>
      <c r="C43" s="108"/>
      <c r="D43" s="113"/>
      <c r="E43" s="108"/>
      <c r="F43" s="108"/>
      <c r="G43" s="115"/>
      <c r="H43" s="108"/>
      <c r="I43" s="108"/>
      <c r="J43" s="108"/>
      <c r="K43" s="108"/>
    </row>
    <row r="44" spans="1:11" ht="12.75" customHeight="1" x14ac:dyDescent="0.2">
      <c r="A44" s="108"/>
      <c r="B44" s="108"/>
      <c r="C44" s="108"/>
      <c r="D44" s="113"/>
      <c r="E44" s="108"/>
      <c r="F44" s="108"/>
      <c r="G44" s="115"/>
      <c r="H44" s="108"/>
      <c r="I44" s="108"/>
      <c r="J44" s="108"/>
      <c r="K44" s="108"/>
    </row>
    <row r="45" spans="1:11" ht="18.75" customHeight="1" x14ac:dyDescent="0.2">
      <c r="A45" s="371" t="s">
        <v>242</v>
      </c>
      <c r="B45" s="371"/>
      <c r="C45" s="371"/>
      <c r="D45" s="371"/>
      <c r="E45" s="371"/>
      <c r="F45" s="371"/>
      <c r="G45" s="371"/>
      <c r="H45" s="371"/>
      <c r="I45" s="371"/>
      <c r="J45" s="371"/>
      <c r="K45" s="371"/>
    </row>
    <row r="46" spans="1:11" ht="3.75" customHeight="1" x14ac:dyDescent="0.2">
      <c r="A46" s="108"/>
      <c r="B46" s="108"/>
      <c r="C46" s="108"/>
      <c r="D46" s="108"/>
      <c r="E46" s="108"/>
      <c r="F46" s="108"/>
      <c r="G46" s="114"/>
      <c r="H46" s="118"/>
      <c r="I46" s="118"/>
      <c r="J46" s="118"/>
      <c r="K46" s="108"/>
    </row>
    <row r="47" spans="1:11" ht="4.5" customHeight="1" x14ac:dyDescent="0.25">
      <c r="A47" s="108"/>
      <c r="B47" s="108"/>
      <c r="C47" s="136"/>
      <c r="D47" s="136"/>
      <c r="E47" s="136"/>
      <c r="F47" s="136"/>
      <c r="G47" s="138"/>
      <c r="H47" s="154"/>
      <c r="I47" s="154"/>
      <c r="J47" s="118"/>
      <c r="K47" s="108"/>
    </row>
    <row r="48" spans="1:11" ht="13.5" customHeight="1" x14ac:dyDescent="0.25">
      <c r="A48" s="108"/>
      <c r="B48" s="108"/>
      <c r="C48" s="136"/>
      <c r="D48" s="136" t="s">
        <v>219</v>
      </c>
      <c r="E48" s="136"/>
      <c r="F48" s="136"/>
      <c r="G48" s="137">
        <v>2</v>
      </c>
      <c r="H48" s="136" t="s">
        <v>220</v>
      </c>
      <c r="I48" s="154"/>
      <c r="J48" s="118"/>
      <c r="K48" s="108"/>
    </row>
    <row r="49" spans="1:11" ht="17.25" hidden="1" customHeight="1" x14ac:dyDescent="0.25">
      <c r="A49" s="108"/>
      <c r="B49" s="108"/>
      <c r="C49" s="136"/>
      <c r="D49" s="156"/>
      <c r="E49" s="136"/>
      <c r="F49" s="136"/>
      <c r="G49" s="137">
        <f>G48</f>
        <v>2</v>
      </c>
      <c r="H49" s="136"/>
      <c r="I49" s="154"/>
      <c r="J49" s="118"/>
      <c r="K49" s="108"/>
    </row>
    <row r="50" spans="1:11" x14ac:dyDescent="0.2">
      <c r="A50" s="108"/>
      <c r="B50" s="108"/>
      <c r="C50" s="108"/>
      <c r="D50" s="108"/>
      <c r="E50" s="108"/>
      <c r="F50" s="108"/>
      <c r="G50" s="111"/>
      <c r="H50" s="118"/>
      <c r="I50" s="118"/>
      <c r="J50" s="118"/>
      <c r="K50" s="108"/>
    </row>
    <row r="51" spans="1:11" ht="39.75" customHeight="1" x14ac:dyDescent="0.2">
      <c r="A51" s="108"/>
      <c r="B51" s="108"/>
      <c r="C51" s="108"/>
      <c r="D51" s="348" t="s">
        <v>345</v>
      </c>
      <c r="E51" s="348"/>
      <c r="F51" s="348"/>
      <c r="G51" s="348"/>
      <c r="H51" s="348"/>
      <c r="I51" s="348"/>
      <c r="J51" s="348"/>
      <c r="K51" s="108"/>
    </row>
    <row r="52" spans="1:11" x14ac:dyDescent="0.2">
      <c r="A52" s="108"/>
      <c r="B52" s="108"/>
      <c r="C52" s="108"/>
      <c r="D52" s="108"/>
      <c r="E52" s="108"/>
      <c r="F52" s="108"/>
      <c r="G52" s="159"/>
      <c r="H52" s="118"/>
      <c r="I52" s="118"/>
      <c r="J52" s="118"/>
      <c r="K52" s="108"/>
    </row>
    <row r="53" spans="1:11" ht="17.25" customHeight="1" x14ac:dyDescent="0.2">
      <c r="A53" s="369" t="s">
        <v>221</v>
      </c>
      <c r="B53" s="369"/>
      <c r="C53" s="369"/>
      <c r="D53" s="369"/>
      <c r="E53" s="369"/>
      <c r="F53" s="369"/>
      <c r="G53" s="369"/>
      <c r="H53" s="369"/>
      <c r="I53" s="369"/>
      <c r="J53" s="369"/>
      <c r="K53" s="369"/>
    </row>
    <row r="54" spans="1:11" ht="9" customHeight="1" x14ac:dyDescent="0.25">
      <c r="A54" s="109"/>
      <c r="B54" s="109"/>
      <c r="C54" s="142"/>
      <c r="D54" s="141"/>
      <c r="E54" s="141"/>
      <c r="F54" s="141"/>
      <c r="G54" s="141"/>
      <c r="H54" s="141"/>
      <c r="I54" s="141"/>
      <c r="J54" s="141"/>
      <c r="K54" s="109"/>
    </row>
    <row r="55" spans="1:11" ht="15" x14ac:dyDescent="0.25">
      <c r="A55" s="109"/>
      <c r="B55" s="109"/>
      <c r="C55" s="141"/>
      <c r="D55" s="141"/>
      <c r="E55" s="141"/>
      <c r="F55" s="141"/>
      <c r="G55" s="166" t="s">
        <v>223</v>
      </c>
      <c r="H55" s="167"/>
      <c r="I55" s="166" t="s">
        <v>224</v>
      </c>
      <c r="J55" s="141"/>
      <c r="K55" s="109"/>
    </row>
    <row r="56" spans="1:11" ht="1.5" customHeight="1" x14ac:dyDescent="0.2">
      <c r="A56" s="109"/>
      <c r="B56" s="109"/>
      <c r="C56" s="141"/>
      <c r="D56" s="141"/>
      <c r="E56" s="141"/>
      <c r="F56" s="141"/>
      <c r="G56" s="167"/>
      <c r="H56" s="167"/>
      <c r="I56" s="167"/>
      <c r="J56" s="141"/>
      <c r="K56" s="109"/>
    </row>
    <row r="57" spans="1:11" ht="14.25" x14ac:dyDescent="0.2">
      <c r="A57" s="109"/>
      <c r="B57" s="109"/>
      <c r="C57" s="141" t="s">
        <v>227</v>
      </c>
      <c r="D57" s="141"/>
      <c r="E57" s="141"/>
      <c r="F57" s="141"/>
      <c r="G57" s="167">
        <f>(G9+G11)*G13</f>
        <v>4800</v>
      </c>
      <c r="H57" s="167" t="s">
        <v>222</v>
      </c>
      <c r="I57" s="168">
        <f>IF('detector presencia'!I23="",('3. MAE Apagado lámparas'!G17+'3. MAE Apagado lámparas'!G19)*'3. MAE Apagado lámparas'!G21,"Erreur !")</f>
        <v>2400</v>
      </c>
      <c r="J57" s="141"/>
      <c r="K57" s="109"/>
    </row>
    <row r="58" spans="1:11" ht="4.5" customHeight="1" x14ac:dyDescent="0.2">
      <c r="A58" s="109"/>
      <c r="B58" s="109"/>
      <c r="C58" s="141"/>
      <c r="D58" s="141"/>
      <c r="E58" s="141"/>
      <c r="F58" s="141"/>
      <c r="G58" s="167"/>
      <c r="H58" s="167"/>
      <c r="I58" s="167"/>
      <c r="J58" s="141"/>
      <c r="K58" s="109"/>
    </row>
    <row r="59" spans="1:11" ht="14.25" x14ac:dyDescent="0.2">
      <c r="A59" s="109"/>
      <c r="B59" s="109"/>
      <c r="C59" s="141" t="s">
        <v>228</v>
      </c>
      <c r="D59" s="141"/>
      <c r="E59" s="141"/>
      <c r="F59" s="141"/>
      <c r="G59" s="180">
        <f>ROUND('detector presencia'!C48/1000,0)*1000</f>
        <v>59000</v>
      </c>
      <c r="H59" s="167" t="s">
        <v>129</v>
      </c>
      <c r="I59" s="180">
        <f>IF(I23="",ROUND('detector presencia'!C49/1000,0)*1000,"Erreur !")</f>
        <v>62000</v>
      </c>
      <c r="J59" s="141"/>
      <c r="K59" s="109"/>
    </row>
    <row r="60" spans="1:11" ht="14.25" x14ac:dyDescent="0.2">
      <c r="A60" s="109"/>
      <c r="B60" s="109"/>
      <c r="C60" s="141"/>
      <c r="D60" s="141"/>
      <c r="E60" s="141"/>
      <c r="F60" s="141"/>
      <c r="G60" s="168"/>
      <c r="H60" s="167"/>
      <c r="I60" s="179" t="str">
        <f>IF(I59&lt;G59,"La vida útil de las lámparas disminuye debido a que se incrementa la cantidad de encendidos y apagados","")</f>
        <v/>
      </c>
      <c r="J60" s="141"/>
      <c r="K60" s="109"/>
    </row>
    <row r="61" spans="1:11" ht="3.75" customHeight="1" x14ac:dyDescent="0.2">
      <c r="A61" s="109"/>
      <c r="B61" s="109"/>
      <c r="C61" s="141"/>
      <c r="D61" s="141"/>
      <c r="E61" s="141"/>
      <c r="F61" s="141"/>
      <c r="G61" s="167"/>
      <c r="H61" s="167"/>
      <c r="I61" s="167"/>
      <c r="J61" s="141"/>
      <c r="K61" s="109"/>
    </row>
    <row r="62" spans="1:11" ht="14.25" x14ac:dyDescent="0.2">
      <c r="A62" s="109"/>
      <c r="B62" s="109"/>
      <c r="C62" s="141" t="s">
        <v>229</v>
      </c>
      <c r="D62" s="141"/>
      <c r="E62" s="141"/>
      <c r="F62" s="141"/>
      <c r="G62" s="168">
        <f>((G35*G33+G41*G33)*G57/G59)</f>
        <v>1659.6610169491526</v>
      </c>
      <c r="H62" s="167" t="s">
        <v>225</v>
      </c>
      <c r="I62" s="168">
        <f>IF(I23="",(G35*G33+G41*G33)*I57/I59,"Erreur !")</f>
        <v>789.67741935483866</v>
      </c>
      <c r="J62" s="141"/>
      <c r="K62" s="109"/>
    </row>
    <row r="63" spans="1:11" ht="3.75" customHeight="1" x14ac:dyDescent="0.2">
      <c r="A63" s="109"/>
      <c r="B63" s="109"/>
      <c r="C63" s="141"/>
      <c r="D63" s="141"/>
      <c r="E63" s="141"/>
      <c r="F63" s="141"/>
      <c r="G63" s="167"/>
      <c r="H63" s="167"/>
      <c r="I63" s="167"/>
      <c r="J63" s="141"/>
      <c r="K63" s="109"/>
    </row>
    <row r="64" spans="1:11" ht="14.25" x14ac:dyDescent="0.2">
      <c r="A64" s="109"/>
      <c r="B64" s="109"/>
      <c r="C64" s="141" t="s">
        <v>230</v>
      </c>
      <c r="D64" s="141"/>
      <c r="E64" s="141"/>
      <c r="F64" s="141"/>
      <c r="G64" s="168">
        <f>IF('detector presencia'!C11&lt;4,'3. MAE Apagado lámparas'!G31*'3. MAE Apagado lámparas'!G33*'3. MAE Apagado lámparas'!G57/1000,IF('detector presencia'!D23&lt;3,'3. MAE Apagado lámparas'!G31*'3. MAE Apagado lámparas'!G33*1.2*'3. MAE Apagado lámparas'!G57/1000,'3. MAE Apagado lámparas'!G33*'3. MAE Apagado lámparas'!G31*'3. MAE Apagado lámparas'!G57/1000))</f>
        <v>3072</v>
      </c>
      <c r="H64" s="167" t="s">
        <v>226</v>
      </c>
      <c r="I64" s="168">
        <f>IF(I23="",IF('detector presencia'!C11&lt;4,'3. MAE Apagado lámparas'!G31*'3. MAE Apagado lámparas'!G33*'3. MAE Apagado lámparas'!I57/1000,IF('detector presencia'!D23&lt;3,'3. MAE Apagado lámparas'!G31*'3. MAE Apagado lámparas'!G33*1.2*'3. MAE Apagado lámparas'!I57/1000,'3. MAE Apagado lámparas'!G33*'3. MAE Apagado lámparas'!G31*'3. MAE Apagado lámparas'!I57/1000)),"Erreur !")</f>
        <v>1536</v>
      </c>
      <c r="J64" s="141"/>
      <c r="K64" s="109"/>
    </row>
    <row r="65" spans="1:11" ht="5.25" customHeight="1" x14ac:dyDescent="0.2">
      <c r="A65" s="109"/>
      <c r="B65" s="109"/>
      <c r="C65" s="141"/>
      <c r="D65" s="141"/>
      <c r="E65" s="141"/>
      <c r="F65" s="141"/>
      <c r="G65" s="167"/>
      <c r="H65" s="167"/>
      <c r="I65" s="167"/>
      <c r="J65" s="141"/>
      <c r="K65" s="109"/>
    </row>
    <row r="66" spans="1:11" ht="14.25" x14ac:dyDescent="0.2">
      <c r="A66" s="109"/>
      <c r="B66" s="109"/>
      <c r="C66" s="141" t="s">
        <v>231</v>
      </c>
      <c r="D66" s="141"/>
      <c r="E66" s="141"/>
      <c r="F66" s="141"/>
      <c r="G66" s="173">
        <f>IF((G9+G11)=0,0,G64*G9/(G9+G11)*G48+G64*G11/(G9+G11)*G49+G62)</f>
        <v>7803.6610169491523</v>
      </c>
      <c r="H66" s="167" t="s">
        <v>225</v>
      </c>
      <c r="I66" s="173">
        <f>IF(I23="",IF(G17&lt;=15,(I64/'detector presencia'!J6*('detector presencia'!J3+'detector presencia'!J4)*G48+I64/'detector presencia'!J6*'detector presencia'!J5/(15-G17+9)*(15-G17)*G48+I64/'detector presencia'!J6*'detector presencia'!J5/(15-G17+9)*9*G49)+I62,(I64/'detector presencia'!J6*('detector presencia'!J3+'detector presencia'!J4)/G17*15*G48+I64/'detector presencia'!J6*('detector presencia'!J3+'detector presencia'!J4)/G17*(G17-15)*G49+I64/'detector presencia'!J6*'detector presencia'!J5*G48)+I62),"Erreur !")</f>
        <v>3861.6774193548385</v>
      </c>
      <c r="J66" s="141"/>
      <c r="K66" s="109"/>
    </row>
    <row r="67" spans="1:11" ht="3.75" customHeight="1" x14ac:dyDescent="0.2">
      <c r="A67" s="109"/>
      <c r="B67" s="109"/>
      <c r="C67" s="141"/>
      <c r="D67" s="141"/>
      <c r="E67" s="141"/>
      <c r="F67" s="141"/>
      <c r="G67" s="168"/>
      <c r="H67" s="167"/>
      <c r="I67" s="168"/>
      <c r="J67" s="141"/>
      <c r="K67" s="109"/>
    </row>
    <row r="68" spans="1:11" ht="14.25" customHeight="1" x14ac:dyDescent="0.25">
      <c r="A68" s="109"/>
      <c r="B68" s="109"/>
      <c r="C68" s="141" t="s">
        <v>232</v>
      </c>
      <c r="D68" s="141"/>
      <c r="E68" s="141"/>
      <c r="F68" s="172">
        <f>IF(G64=0,"",G68/G64)</f>
        <v>0.5</v>
      </c>
      <c r="G68" s="170">
        <f>G64-I64</f>
        <v>1536</v>
      </c>
      <c r="H68" s="171" t="s">
        <v>226</v>
      </c>
      <c r="I68" s="168"/>
      <c r="J68" s="141"/>
      <c r="K68" s="109"/>
    </row>
    <row r="69" spans="1:11" ht="5.25" customHeight="1" x14ac:dyDescent="0.2">
      <c r="A69" s="109"/>
      <c r="B69" s="109"/>
      <c r="C69" s="141"/>
      <c r="D69" s="141"/>
      <c r="E69" s="141"/>
      <c r="F69" s="141"/>
      <c r="G69" s="167"/>
      <c r="H69" s="167"/>
      <c r="I69" s="167"/>
      <c r="J69" s="141"/>
      <c r="K69" s="109"/>
    </row>
    <row r="70" spans="1:11" ht="15" x14ac:dyDescent="0.25">
      <c r="A70" s="109"/>
      <c r="B70" s="109"/>
      <c r="C70" s="143" t="s">
        <v>233</v>
      </c>
      <c r="D70" s="141"/>
      <c r="E70" s="141"/>
      <c r="F70" s="141"/>
      <c r="G70" s="174">
        <f>IF(I23="",G66-I66,"Erreur !")</f>
        <v>3941.9835975943138</v>
      </c>
      <c r="H70" s="171" t="s">
        <v>225</v>
      </c>
      <c r="I70" s="141"/>
      <c r="J70" s="141"/>
      <c r="K70" s="109"/>
    </row>
    <row r="71" spans="1:11" ht="3.75" customHeight="1" x14ac:dyDescent="0.2">
      <c r="A71" s="109"/>
      <c r="B71" s="109"/>
      <c r="C71" s="141"/>
      <c r="D71" s="141"/>
      <c r="E71" s="141"/>
      <c r="F71" s="141"/>
      <c r="G71" s="167"/>
      <c r="H71" s="167"/>
      <c r="I71" s="167"/>
      <c r="J71" s="141"/>
      <c r="K71" s="109"/>
    </row>
    <row r="72" spans="1:11" ht="17.25" customHeight="1" x14ac:dyDescent="0.25">
      <c r="A72" s="109"/>
      <c r="B72" s="109"/>
      <c r="C72" s="141" t="s">
        <v>234</v>
      </c>
      <c r="D72" s="109"/>
      <c r="E72" s="109"/>
      <c r="F72" s="109"/>
      <c r="G72" s="170">
        <f>G68*G73</f>
        <v>766.46399999999994</v>
      </c>
      <c r="H72" s="370" t="s">
        <v>237</v>
      </c>
      <c r="I72" s="370"/>
      <c r="J72" s="109"/>
      <c r="K72" s="109"/>
    </row>
    <row r="73" spans="1:11" ht="21.75" customHeight="1" x14ac:dyDescent="0.2">
      <c r="A73" s="108"/>
      <c r="B73" s="108"/>
      <c r="C73" s="349" t="s">
        <v>235</v>
      </c>
      <c r="D73" s="349"/>
      <c r="E73" s="349"/>
      <c r="F73" s="349"/>
      <c r="G73" s="177">
        <v>0.499</v>
      </c>
      <c r="H73" s="349" t="s">
        <v>236</v>
      </c>
      <c r="I73" s="349"/>
      <c r="J73" s="108"/>
      <c r="K73" s="108"/>
    </row>
    <row r="74" spans="1:11" x14ac:dyDescent="0.2">
      <c r="A74" s="108"/>
      <c r="B74" s="108"/>
      <c r="C74" s="356" t="s">
        <v>346</v>
      </c>
      <c r="D74" s="356"/>
      <c r="E74" s="356"/>
      <c r="F74" s="356"/>
      <c r="G74" s="113"/>
      <c r="H74" s="108"/>
      <c r="I74" s="108"/>
      <c r="J74" s="108"/>
      <c r="K74" s="108"/>
    </row>
  </sheetData>
  <mergeCells count="12">
    <mergeCell ref="A45:K45"/>
    <mergeCell ref="D51:J51"/>
    <mergeCell ref="A15:K15"/>
    <mergeCell ref="D18:F19"/>
    <mergeCell ref="A2:K2"/>
    <mergeCell ref="A7:K7"/>
    <mergeCell ref="A25:K25"/>
    <mergeCell ref="C74:F74"/>
    <mergeCell ref="A53:K53"/>
    <mergeCell ref="H72:I72"/>
    <mergeCell ref="C73:F73"/>
    <mergeCell ref="H73:I73"/>
  </mergeCells>
  <pageMargins left="0.19685039370078741" right="0.19685039370078741" top="0.19685039370078741" bottom="0.19685039370078741" header="0.19685039370078741" footer="0.19685039370078741"/>
  <pageSetup scale="95" orientation="portrait" r:id="rId1"/>
  <headerFooter alignWithMargins="0">
    <oddHeader>&amp;C&amp;G&amp;R&amp;"Arial,Negrita Cursiva"ILUMINACIÓN</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0483" r:id="rId5" name="Drop Down 3">
              <controlPr locked="0" defaultSize="0" autoFill="0" autoLine="0" autoPict="0">
                <anchor moveWithCells="1">
                  <from>
                    <xdr:col>5</xdr:col>
                    <xdr:colOff>552450</xdr:colOff>
                    <xdr:row>26</xdr:row>
                    <xdr:rowOff>19050</xdr:rowOff>
                  </from>
                  <to>
                    <xdr:col>7</xdr:col>
                    <xdr:colOff>657225</xdr:colOff>
                    <xdr:row>27</xdr:row>
                    <xdr:rowOff>28575</xdr:rowOff>
                  </to>
                </anchor>
              </controlPr>
            </control>
          </mc:Choice>
        </mc:AlternateContent>
        <mc:AlternateContent xmlns:mc="http://schemas.openxmlformats.org/markup-compatibility/2006">
          <mc:Choice Requires="x14">
            <control shapeId="20484" r:id="rId6" name="Drop Down 4">
              <controlPr locked="0" defaultSize="0" autoFill="0" autoLine="0" autoPict="0">
                <anchor moveWithCells="1">
                  <from>
                    <xdr:col>5</xdr:col>
                    <xdr:colOff>552450</xdr:colOff>
                    <xdr:row>28</xdr:row>
                    <xdr:rowOff>28575</xdr:rowOff>
                  </from>
                  <to>
                    <xdr:col>7</xdr:col>
                    <xdr:colOff>657225</xdr:colOff>
                    <xdr:row>29</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99"/>
  <sheetViews>
    <sheetView showOutlineSymbols="0" zoomScaleNormal="100" workbookViewId="0">
      <selection activeCell="G91" sqref="G91"/>
    </sheetView>
  </sheetViews>
  <sheetFormatPr baseColWidth="10" defaultRowHeight="12.75" x14ac:dyDescent="0.2"/>
  <cols>
    <col min="1" max="1" width="6.28515625" style="68" customWidth="1"/>
    <col min="2" max="2" width="2.140625" style="68" customWidth="1"/>
    <col min="3" max="3" width="5.140625" style="68" customWidth="1"/>
    <col min="4" max="5" width="11.42578125" style="68"/>
    <col min="6" max="6" width="21.42578125" style="68" customWidth="1"/>
    <col min="7" max="7" width="14.42578125" style="68" bestFit="1" customWidth="1"/>
    <col min="8" max="9" width="11.42578125" style="68"/>
    <col min="10" max="11" width="3.42578125" style="68" customWidth="1"/>
    <col min="12" max="256" width="11.42578125" style="68"/>
    <col min="257" max="257" width="6.28515625" style="68" customWidth="1"/>
    <col min="258" max="258" width="2.140625" style="68" customWidth="1"/>
    <col min="259" max="259" width="5.140625" style="68" customWidth="1"/>
    <col min="260" max="261" width="11.42578125" style="68"/>
    <col min="262" max="262" width="21.42578125" style="68" customWidth="1"/>
    <col min="263" max="265" width="11.42578125" style="68"/>
    <col min="266" max="267" width="3.42578125" style="68" customWidth="1"/>
    <col min="268" max="512" width="11.42578125" style="68"/>
    <col min="513" max="513" width="6.28515625" style="68" customWidth="1"/>
    <col min="514" max="514" width="2.140625" style="68" customWidth="1"/>
    <col min="515" max="515" width="5.140625" style="68" customWidth="1"/>
    <col min="516" max="517" width="11.42578125" style="68"/>
    <col min="518" max="518" width="21.42578125" style="68" customWidth="1"/>
    <col min="519" max="521" width="11.42578125" style="68"/>
    <col min="522" max="523" width="3.42578125" style="68" customWidth="1"/>
    <col min="524" max="768" width="11.42578125" style="68"/>
    <col min="769" max="769" width="6.28515625" style="68" customWidth="1"/>
    <col min="770" max="770" width="2.140625" style="68" customWidth="1"/>
    <col min="771" max="771" width="5.140625" style="68" customWidth="1"/>
    <col min="772" max="773" width="11.42578125" style="68"/>
    <col min="774" max="774" width="21.42578125" style="68" customWidth="1"/>
    <col min="775" max="777" width="11.42578125" style="68"/>
    <col min="778" max="779" width="3.42578125" style="68" customWidth="1"/>
    <col min="780" max="1024" width="11.42578125" style="68"/>
    <col min="1025" max="1025" width="6.28515625" style="68" customWidth="1"/>
    <col min="1026" max="1026" width="2.140625" style="68" customWidth="1"/>
    <col min="1027" max="1027" width="5.140625" style="68" customWidth="1"/>
    <col min="1028" max="1029" width="11.42578125" style="68"/>
    <col min="1030" max="1030" width="21.42578125" style="68" customWidth="1"/>
    <col min="1031" max="1033" width="11.42578125" style="68"/>
    <col min="1034" max="1035" width="3.42578125" style="68" customWidth="1"/>
    <col min="1036" max="1280" width="11.42578125" style="68"/>
    <col min="1281" max="1281" width="6.28515625" style="68" customWidth="1"/>
    <col min="1282" max="1282" width="2.140625" style="68" customWidth="1"/>
    <col min="1283" max="1283" width="5.140625" style="68" customWidth="1"/>
    <col min="1284" max="1285" width="11.42578125" style="68"/>
    <col min="1286" max="1286" width="21.42578125" style="68" customWidth="1"/>
    <col min="1287" max="1289" width="11.42578125" style="68"/>
    <col min="1290" max="1291" width="3.42578125" style="68" customWidth="1"/>
    <col min="1292" max="1536" width="11.42578125" style="68"/>
    <col min="1537" max="1537" width="6.28515625" style="68" customWidth="1"/>
    <col min="1538" max="1538" width="2.140625" style="68" customWidth="1"/>
    <col min="1539" max="1539" width="5.140625" style="68" customWidth="1"/>
    <col min="1540" max="1541" width="11.42578125" style="68"/>
    <col min="1542" max="1542" width="21.42578125" style="68" customWidth="1"/>
    <col min="1543" max="1545" width="11.42578125" style="68"/>
    <col min="1546" max="1547" width="3.42578125" style="68" customWidth="1"/>
    <col min="1548" max="1792" width="11.42578125" style="68"/>
    <col min="1793" max="1793" width="6.28515625" style="68" customWidth="1"/>
    <col min="1794" max="1794" width="2.140625" style="68" customWidth="1"/>
    <col min="1795" max="1795" width="5.140625" style="68" customWidth="1"/>
    <col min="1796" max="1797" width="11.42578125" style="68"/>
    <col min="1798" max="1798" width="21.42578125" style="68" customWidth="1"/>
    <col min="1799" max="1801" width="11.42578125" style="68"/>
    <col min="1802" max="1803" width="3.42578125" style="68" customWidth="1"/>
    <col min="1804" max="2048" width="11.42578125" style="68"/>
    <col min="2049" max="2049" width="6.28515625" style="68" customWidth="1"/>
    <col min="2050" max="2050" width="2.140625" style="68" customWidth="1"/>
    <col min="2051" max="2051" width="5.140625" style="68" customWidth="1"/>
    <col min="2052" max="2053" width="11.42578125" style="68"/>
    <col min="2054" max="2054" width="21.42578125" style="68" customWidth="1"/>
    <col min="2055" max="2057" width="11.42578125" style="68"/>
    <col min="2058" max="2059" width="3.42578125" style="68" customWidth="1"/>
    <col min="2060" max="2304" width="11.42578125" style="68"/>
    <col min="2305" max="2305" width="6.28515625" style="68" customWidth="1"/>
    <col min="2306" max="2306" width="2.140625" style="68" customWidth="1"/>
    <col min="2307" max="2307" width="5.140625" style="68" customWidth="1"/>
    <col min="2308" max="2309" width="11.42578125" style="68"/>
    <col min="2310" max="2310" width="21.42578125" style="68" customWidth="1"/>
    <col min="2311" max="2313" width="11.42578125" style="68"/>
    <col min="2314" max="2315" width="3.42578125" style="68" customWidth="1"/>
    <col min="2316" max="2560" width="11.42578125" style="68"/>
    <col min="2561" max="2561" width="6.28515625" style="68" customWidth="1"/>
    <col min="2562" max="2562" width="2.140625" style="68" customWidth="1"/>
    <col min="2563" max="2563" width="5.140625" style="68" customWidth="1"/>
    <col min="2564" max="2565" width="11.42578125" style="68"/>
    <col min="2566" max="2566" width="21.42578125" style="68" customWidth="1"/>
    <col min="2567" max="2569" width="11.42578125" style="68"/>
    <col min="2570" max="2571" width="3.42578125" style="68" customWidth="1"/>
    <col min="2572" max="2816" width="11.42578125" style="68"/>
    <col min="2817" max="2817" width="6.28515625" style="68" customWidth="1"/>
    <col min="2818" max="2818" width="2.140625" style="68" customWidth="1"/>
    <col min="2819" max="2819" width="5.140625" style="68" customWidth="1"/>
    <col min="2820" max="2821" width="11.42578125" style="68"/>
    <col min="2822" max="2822" width="21.42578125" style="68" customWidth="1"/>
    <col min="2823" max="2825" width="11.42578125" style="68"/>
    <col min="2826" max="2827" width="3.42578125" style="68" customWidth="1"/>
    <col min="2828" max="3072" width="11.42578125" style="68"/>
    <col min="3073" max="3073" width="6.28515625" style="68" customWidth="1"/>
    <col min="3074" max="3074" width="2.140625" style="68" customWidth="1"/>
    <col min="3075" max="3075" width="5.140625" style="68" customWidth="1"/>
    <col min="3076" max="3077" width="11.42578125" style="68"/>
    <col min="3078" max="3078" width="21.42578125" style="68" customWidth="1"/>
    <col min="3079" max="3081" width="11.42578125" style="68"/>
    <col min="3082" max="3083" width="3.42578125" style="68" customWidth="1"/>
    <col min="3084" max="3328" width="11.42578125" style="68"/>
    <col min="3329" max="3329" width="6.28515625" style="68" customWidth="1"/>
    <col min="3330" max="3330" width="2.140625" style="68" customWidth="1"/>
    <col min="3331" max="3331" width="5.140625" style="68" customWidth="1"/>
    <col min="3332" max="3333" width="11.42578125" style="68"/>
    <col min="3334" max="3334" width="21.42578125" style="68" customWidth="1"/>
    <col min="3335" max="3337" width="11.42578125" style="68"/>
    <col min="3338" max="3339" width="3.42578125" style="68" customWidth="1"/>
    <col min="3340" max="3584" width="11.42578125" style="68"/>
    <col min="3585" max="3585" width="6.28515625" style="68" customWidth="1"/>
    <col min="3586" max="3586" width="2.140625" style="68" customWidth="1"/>
    <col min="3587" max="3587" width="5.140625" style="68" customWidth="1"/>
    <col min="3588" max="3589" width="11.42578125" style="68"/>
    <col min="3590" max="3590" width="21.42578125" style="68" customWidth="1"/>
    <col min="3591" max="3593" width="11.42578125" style="68"/>
    <col min="3594" max="3595" width="3.42578125" style="68" customWidth="1"/>
    <col min="3596" max="3840" width="11.42578125" style="68"/>
    <col min="3841" max="3841" width="6.28515625" style="68" customWidth="1"/>
    <col min="3842" max="3842" width="2.140625" style="68" customWidth="1"/>
    <col min="3843" max="3843" width="5.140625" style="68" customWidth="1"/>
    <col min="3844" max="3845" width="11.42578125" style="68"/>
    <col min="3846" max="3846" width="21.42578125" style="68" customWidth="1"/>
    <col min="3847" max="3849" width="11.42578125" style="68"/>
    <col min="3850" max="3851" width="3.42578125" style="68" customWidth="1"/>
    <col min="3852" max="4096" width="11.42578125" style="68"/>
    <col min="4097" max="4097" width="6.28515625" style="68" customWidth="1"/>
    <col min="4098" max="4098" width="2.140625" style="68" customWidth="1"/>
    <col min="4099" max="4099" width="5.140625" style="68" customWidth="1"/>
    <col min="4100" max="4101" width="11.42578125" style="68"/>
    <col min="4102" max="4102" width="21.42578125" style="68" customWidth="1"/>
    <col min="4103" max="4105" width="11.42578125" style="68"/>
    <col min="4106" max="4107" width="3.42578125" style="68" customWidth="1"/>
    <col min="4108" max="4352" width="11.42578125" style="68"/>
    <col min="4353" max="4353" width="6.28515625" style="68" customWidth="1"/>
    <col min="4354" max="4354" width="2.140625" style="68" customWidth="1"/>
    <col min="4355" max="4355" width="5.140625" style="68" customWidth="1"/>
    <col min="4356" max="4357" width="11.42578125" style="68"/>
    <col min="4358" max="4358" width="21.42578125" style="68" customWidth="1"/>
    <col min="4359" max="4361" width="11.42578125" style="68"/>
    <col min="4362" max="4363" width="3.42578125" style="68" customWidth="1"/>
    <col min="4364" max="4608" width="11.42578125" style="68"/>
    <col min="4609" max="4609" width="6.28515625" style="68" customWidth="1"/>
    <col min="4610" max="4610" width="2.140625" style="68" customWidth="1"/>
    <col min="4611" max="4611" width="5.140625" style="68" customWidth="1"/>
    <col min="4612" max="4613" width="11.42578125" style="68"/>
    <col min="4614" max="4614" width="21.42578125" style="68" customWidth="1"/>
    <col min="4615" max="4617" width="11.42578125" style="68"/>
    <col min="4618" max="4619" width="3.42578125" style="68" customWidth="1"/>
    <col min="4620" max="4864" width="11.42578125" style="68"/>
    <col min="4865" max="4865" width="6.28515625" style="68" customWidth="1"/>
    <col min="4866" max="4866" width="2.140625" style="68" customWidth="1"/>
    <col min="4867" max="4867" width="5.140625" style="68" customWidth="1"/>
    <col min="4868" max="4869" width="11.42578125" style="68"/>
    <col min="4870" max="4870" width="21.42578125" style="68" customWidth="1"/>
    <col min="4871" max="4873" width="11.42578125" style="68"/>
    <col min="4874" max="4875" width="3.42578125" style="68" customWidth="1"/>
    <col min="4876" max="5120" width="11.42578125" style="68"/>
    <col min="5121" max="5121" width="6.28515625" style="68" customWidth="1"/>
    <col min="5122" max="5122" width="2.140625" style="68" customWidth="1"/>
    <col min="5123" max="5123" width="5.140625" style="68" customWidth="1"/>
    <col min="5124" max="5125" width="11.42578125" style="68"/>
    <col min="5126" max="5126" width="21.42578125" style="68" customWidth="1"/>
    <col min="5127" max="5129" width="11.42578125" style="68"/>
    <col min="5130" max="5131" width="3.42578125" style="68" customWidth="1"/>
    <col min="5132" max="5376" width="11.42578125" style="68"/>
    <col min="5377" max="5377" width="6.28515625" style="68" customWidth="1"/>
    <col min="5378" max="5378" width="2.140625" style="68" customWidth="1"/>
    <col min="5379" max="5379" width="5.140625" style="68" customWidth="1"/>
    <col min="5380" max="5381" width="11.42578125" style="68"/>
    <col min="5382" max="5382" width="21.42578125" style="68" customWidth="1"/>
    <col min="5383" max="5385" width="11.42578125" style="68"/>
    <col min="5386" max="5387" width="3.42578125" style="68" customWidth="1"/>
    <col min="5388" max="5632" width="11.42578125" style="68"/>
    <col min="5633" max="5633" width="6.28515625" style="68" customWidth="1"/>
    <col min="5634" max="5634" width="2.140625" style="68" customWidth="1"/>
    <col min="5635" max="5635" width="5.140625" style="68" customWidth="1"/>
    <col min="5636" max="5637" width="11.42578125" style="68"/>
    <col min="5638" max="5638" width="21.42578125" style="68" customWidth="1"/>
    <col min="5639" max="5641" width="11.42578125" style="68"/>
    <col min="5642" max="5643" width="3.42578125" style="68" customWidth="1"/>
    <col min="5644" max="5888" width="11.42578125" style="68"/>
    <col min="5889" max="5889" width="6.28515625" style="68" customWidth="1"/>
    <col min="5890" max="5890" width="2.140625" style="68" customWidth="1"/>
    <col min="5891" max="5891" width="5.140625" style="68" customWidth="1"/>
    <col min="5892" max="5893" width="11.42578125" style="68"/>
    <col min="5894" max="5894" width="21.42578125" style="68" customWidth="1"/>
    <col min="5895" max="5897" width="11.42578125" style="68"/>
    <col min="5898" max="5899" width="3.42578125" style="68" customWidth="1"/>
    <col min="5900" max="6144" width="11.42578125" style="68"/>
    <col min="6145" max="6145" width="6.28515625" style="68" customWidth="1"/>
    <col min="6146" max="6146" width="2.140625" style="68" customWidth="1"/>
    <col min="6147" max="6147" width="5.140625" style="68" customWidth="1"/>
    <col min="6148" max="6149" width="11.42578125" style="68"/>
    <col min="6150" max="6150" width="21.42578125" style="68" customWidth="1"/>
    <col min="6151" max="6153" width="11.42578125" style="68"/>
    <col min="6154" max="6155" width="3.42578125" style="68" customWidth="1"/>
    <col min="6156" max="6400" width="11.42578125" style="68"/>
    <col min="6401" max="6401" width="6.28515625" style="68" customWidth="1"/>
    <col min="6402" max="6402" width="2.140625" style="68" customWidth="1"/>
    <col min="6403" max="6403" width="5.140625" style="68" customWidth="1"/>
    <col min="6404" max="6405" width="11.42578125" style="68"/>
    <col min="6406" max="6406" width="21.42578125" style="68" customWidth="1"/>
    <col min="6407" max="6409" width="11.42578125" style="68"/>
    <col min="6410" max="6411" width="3.42578125" style="68" customWidth="1"/>
    <col min="6412" max="6656" width="11.42578125" style="68"/>
    <col min="6657" max="6657" width="6.28515625" style="68" customWidth="1"/>
    <col min="6658" max="6658" width="2.140625" style="68" customWidth="1"/>
    <col min="6659" max="6659" width="5.140625" style="68" customWidth="1"/>
    <col min="6660" max="6661" width="11.42578125" style="68"/>
    <col min="6662" max="6662" width="21.42578125" style="68" customWidth="1"/>
    <col min="6663" max="6665" width="11.42578125" style="68"/>
    <col min="6666" max="6667" width="3.42578125" style="68" customWidth="1"/>
    <col min="6668" max="6912" width="11.42578125" style="68"/>
    <col min="6913" max="6913" width="6.28515625" style="68" customWidth="1"/>
    <col min="6914" max="6914" width="2.140625" style="68" customWidth="1"/>
    <col min="6915" max="6915" width="5.140625" style="68" customWidth="1"/>
    <col min="6916" max="6917" width="11.42578125" style="68"/>
    <col min="6918" max="6918" width="21.42578125" style="68" customWidth="1"/>
    <col min="6919" max="6921" width="11.42578125" style="68"/>
    <col min="6922" max="6923" width="3.42578125" style="68" customWidth="1"/>
    <col min="6924" max="7168" width="11.42578125" style="68"/>
    <col min="7169" max="7169" width="6.28515625" style="68" customWidth="1"/>
    <col min="7170" max="7170" width="2.140625" style="68" customWidth="1"/>
    <col min="7171" max="7171" width="5.140625" style="68" customWidth="1"/>
    <col min="7172" max="7173" width="11.42578125" style="68"/>
    <col min="7174" max="7174" width="21.42578125" style="68" customWidth="1"/>
    <col min="7175" max="7177" width="11.42578125" style="68"/>
    <col min="7178" max="7179" width="3.42578125" style="68" customWidth="1"/>
    <col min="7180" max="7424" width="11.42578125" style="68"/>
    <col min="7425" max="7425" width="6.28515625" style="68" customWidth="1"/>
    <col min="7426" max="7426" width="2.140625" style="68" customWidth="1"/>
    <col min="7427" max="7427" width="5.140625" style="68" customWidth="1"/>
    <col min="7428" max="7429" width="11.42578125" style="68"/>
    <col min="7430" max="7430" width="21.42578125" style="68" customWidth="1"/>
    <col min="7431" max="7433" width="11.42578125" style="68"/>
    <col min="7434" max="7435" width="3.42578125" style="68" customWidth="1"/>
    <col min="7436" max="7680" width="11.42578125" style="68"/>
    <col min="7681" max="7681" width="6.28515625" style="68" customWidth="1"/>
    <col min="7682" max="7682" width="2.140625" style="68" customWidth="1"/>
    <col min="7683" max="7683" width="5.140625" style="68" customWidth="1"/>
    <col min="7684" max="7685" width="11.42578125" style="68"/>
    <col min="7686" max="7686" width="21.42578125" style="68" customWidth="1"/>
    <col min="7687" max="7689" width="11.42578125" style="68"/>
    <col min="7690" max="7691" width="3.42578125" style="68" customWidth="1"/>
    <col min="7692" max="7936" width="11.42578125" style="68"/>
    <col min="7937" max="7937" width="6.28515625" style="68" customWidth="1"/>
    <col min="7938" max="7938" width="2.140625" style="68" customWidth="1"/>
    <col min="7939" max="7939" width="5.140625" style="68" customWidth="1"/>
    <col min="7940" max="7941" width="11.42578125" style="68"/>
    <col min="7942" max="7942" width="21.42578125" style="68" customWidth="1"/>
    <col min="7943" max="7945" width="11.42578125" style="68"/>
    <col min="7946" max="7947" width="3.42578125" style="68" customWidth="1"/>
    <col min="7948" max="8192" width="11.42578125" style="68"/>
    <col min="8193" max="8193" width="6.28515625" style="68" customWidth="1"/>
    <col min="8194" max="8194" width="2.140625" style="68" customWidth="1"/>
    <col min="8195" max="8195" width="5.140625" style="68" customWidth="1"/>
    <col min="8196" max="8197" width="11.42578125" style="68"/>
    <col min="8198" max="8198" width="21.42578125" style="68" customWidth="1"/>
    <col min="8199" max="8201" width="11.42578125" style="68"/>
    <col min="8202" max="8203" width="3.42578125" style="68" customWidth="1"/>
    <col min="8204" max="8448" width="11.42578125" style="68"/>
    <col min="8449" max="8449" width="6.28515625" style="68" customWidth="1"/>
    <col min="8450" max="8450" width="2.140625" style="68" customWidth="1"/>
    <col min="8451" max="8451" width="5.140625" style="68" customWidth="1"/>
    <col min="8452" max="8453" width="11.42578125" style="68"/>
    <col min="8454" max="8454" width="21.42578125" style="68" customWidth="1"/>
    <col min="8455" max="8457" width="11.42578125" style="68"/>
    <col min="8458" max="8459" width="3.42578125" style="68" customWidth="1"/>
    <col min="8460" max="8704" width="11.42578125" style="68"/>
    <col min="8705" max="8705" width="6.28515625" style="68" customWidth="1"/>
    <col min="8706" max="8706" width="2.140625" style="68" customWidth="1"/>
    <col min="8707" max="8707" width="5.140625" style="68" customWidth="1"/>
    <col min="8708" max="8709" width="11.42578125" style="68"/>
    <col min="8710" max="8710" width="21.42578125" style="68" customWidth="1"/>
    <col min="8711" max="8713" width="11.42578125" style="68"/>
    <col min="8714" max="8715" width="3.42578125" style="68" customWidth="1"/>
    <col min="8716" max="8960" width="11.42578125" style="68"/>
    <col min="8961" max="8961" width="6.28515625" style="68" customWidth="1"/>
    <col min="8962" max="8962" width="2.140625" style="68" customWidth="1"/>
    <col min="8963" max="8963" width="5.140625" style="68" customWidth="1"/>
    <col min="8964" max="8965" width="11.42578125" style="68"/>
    <col min="8966" max="8966" width="21.42578125" style="68" customWidth="1"/>
    <col min="8967" max="8969" width="11.42578125" style="68"/>
    <col min="8970" max="8971" width="3.42578125" style="68" customWidth="1"/>
    <col min="8972" max="9216" width="11.42578125" style="68"/>
    <col min="9217" max="9217" width="6.28515625" style="68" customWidth="1"/>
    <col min="9218" max="9218" width="2.140625" style="68" customWidth="1"/>
    <col min="9219" max="9219" width="5.140625" style="68" customWidth="1"/>
    <col min="9220" max="9221" width="11.42578125" style="68"/>
    <col min="9222" max="9222" width="21.42578125" style="68" customWidth="1"/>
    <col min="9223" max="9225" width="11.42578125" style="68"/>
    <col min="9226" max="9227" width="3.42578125" style="68" customWidth="1"/>
    <col min="9228" max="9472" width="11.42578125" style="68"/>
    <col min="9473" max="9473" width="6.28515625" style="68" customWidth="1"/>
    <col min="9474" max="9474" width="2.140625" style="68" customWidth="1"/>
    <col min="9475" max="9475" width="5.140625" style="68" customWidth="1"/>
    <col min="9476" max="9477" width="11.42578125" style="68"/>
    <col min="9478" max="9478" width="21.42578125" style="68" customWidth="1"/>
    <col min="9479" max="9481" width="11.42578125" style="68"/>
    <col min="9482" max="9483" width="3.42578125" style="68" customWidth="1"/>
    <col min="9484" max="9728" width="11.42578125" style="68"/>
    <col min="9729" max="9729" width="6.28515625" style="68" customWidth="1"/>
    <col min="9730" max="9730" width="2.140625" style="68" customWidth="1"/>
    <col min="9731" max="9731" width="5.140625" style="68" customWidth="1"/>
    <col min="9732" max="9733" width="11.42578125" style="68"/>
    <col min="9734" max="9734" width="21.42578125" style="68" customWidth="1"/>
    <col min="9735" max="9737" width="11.42578125" style="68"/>
    <col min="9738" max="9739" width="3.42578125" style="68" customWidth="1"/>
    <col min="9740" max="9984" width="11.42578125" style="68"/>
    <col min="9985" max="9985" width="6.28515625" style="68" customWidth="1"/>
    <col min="9986" max="9986" width="2.140625" style="68" customWidth="1"/>
    <col min="9987" max="9987" width="5.140625" style="68" customWidth="1"/>
    <col min="9988" max="9989" width="11.42578125" style="68"/>
    <col min="9990" max="9990" width="21.42578125" style="68" customWidth="1"/>
    <col min="9991" max="9993" width="11.42578125" style="68"/>
    <col min="9994" max="9995" width="3.42578125" style="68" customWidth="1"/>
    <col min="9996" max="10240" width="11.42578125" style="68"/>
    <col min="10241" max="10241" width="6.28515625" style="68" customWidth="1"/>
    <col min="10242" max="10242" width="2.140625" style="68" customWidth="1"/>
    <col min="10243" max="10243" width="5.140625" style="68" customWidth="1"/>
    <col min="10244" max="10245" width="11.42578125" style="68"/>
    <col min="10246" max="10246" width="21.42578125" style="68" customWidth="1"/>
    <col min="10247" max="10249" width="11.42578125" style="68"/>
    <col min="10250" max="10251" width="3.42578125" style="68" customWidth="1"/>
    <col min="10252" max="10496" width="11.42578125" style="68"/>
    <col min="10497" max="10497" width="6.28515625" style="68" customWidth="1"/>
    <col min="10498" max="10498" width="2.140625" style="68" customWidth="1"/>
    <col min="10499" max="10499" width="5.140625" style="68" customWidth="1"/>
    <col min="10500" max="10501" width="11.42578125" style="68"/>
    <col min="10502" max="10502" width="21.42578125" style="68" customWidth="1"/>
    <col min="10503" max="10505" width="11.42578125" style="68"/>
    <col min="10506" max="10507" width="3.42578125" style="68" customWidth="1"/>
    <col min="10508" max="10752" width="11.42578125" style="68"/>
    <col min="10753" max="10753" width="6.28515625" style="68" customWidth="1"/>
    <col min="10754" max="10754" width="2.140625" style="68" customWidth="1"/>
    <col min="10755" max="10755" width="5.140625" style="68" customWidth="1"/>
    <col min="10756" max="10757" width="11.42578125" style="68"/>
    <col min="10758" max="10758" width="21.42578125" style="68" customWidth="1"/>
    <col min="10759" max="10761" width="11.42578125" style="68"/>
    <col min="10762" max="10763" width="3.42578125" style="68" customWidth="1"/>
    <col min="10764" max="11008" width="11.42578125" style="68"/>
    <col min="11009" max="11009" width="6.28515625" style="68" customWidth="1"/>
    <col min="11010" max="11010" width="2.140625" style="68" customWidth="1"/>
    <col min="11011" max="11011" width="5.140625" style="68" customWidth="1"/>
    <col min="11012" max="11013" width="11.42578125" style="68"/>
    <col min="11014" max="11014" width="21.42578125" style="68" customWidth="1"/>
    <col min="11015" max="11017" width="11.42578125" style="68"/>
    <col min="11018" max="11019" width="3.42578125" style="68" customWidth="1"/>
    <col min="11020" max="11264" width="11.42578125" style="68"/>
    <col min="11265" max="11265" width="6.28515625" style="68" customWidth="1"/>
    <col min="11266" max="11266" width="2.140625" style="68" customWidth="1"/>
    <col min="11267" max="11267" width="5.140625" style="68" customWidth="1"/>
    <col min="11268" max="11269" width="11.42578125" style="68"/>
    <col min="11270" max="11270" width="21.42578125" style="68" customWidth="1"/>
    <col min="11271" max="11273" width="11.42578125" style="68"/>
    <col min="11274" max="11275" width="3.42578125" style="68" customWidth="1"/>
    <col min="11276" max="11520" width="11.42578125" style="68"/>
    <col min="11521" max="11521" width="6.28515625" style="68" customWidth="1"/>
    <col min="11522" max="11522" width="2.140625" style="68" customWidth="1"/>
    <col min="11523" max="11523" width="5.140625" style="68" customWidth="1"/>
    <col min="11524" max="11525" width="11.42578125" style="68"/>
    <col min="11526" max="11526" width="21.42578125" style="68" customWidth="1"/>
    <col min="11527" max="11529" width="11.42578125" style="68"/>
    <col min="11530" max="11531" width="3.42578125" style="68" customWidth="1"/>
    <col min="11532" max="11776" width="11.42578125" style="68"/>
    <col min="11777" max="11777" width="6.28515625" style="68" customWidth="1"/>
    <col min="11778" max="11778" width="2.140625" style="68" customWidth="1"/>
    <col min="11779" max="11779" width="5.140625" style="68" customWidth="1"/>
    <col min="11780" max="11781" width="11.42578125" style="68"/>
    <col min="11782" max="11782" width="21.42578125" style="68" customWidth="1"/>
    <col min="11783" max="11785" width="11.42578125" style="68"/>
    <col min="11786" max="11787" width="3.42578125" style="68" customWidth="1"/>
    <col min="11788" max="12032" width="11.42578125" style="68"/>
    <col min="12033" max="12033" width="6.28515625" style="68" customWidth="1"/>
    <col min="12034" max="12034" width="2.140625" style="68" customWidth="1"/>
    <col min="12035" max="12035" width="5.140625" style="68" customWidth="1"/>
    <col min="12036" max="12037" width="11.42578125" style="68"/>
    <col min="12038" max="12038" width="21.42578125" style="68" customWidth="1"/>
    <col min="12039" max="12041" width="11.42578125" style="68"/>
    <col min="12042" max="12043" width="3.42578125" style="68" customWidth="1"/>
    <col min="12044" max="12288" width="11.42578125" style="68"/>
    <col min="12289" max="12289" width="6.28515625" style="68" customWidth="1"/>
    <col min="12290" max="12290" width="2.140625" style="68" customWidth="1"/>
    <col min="12291" max="12291" width="5.140625" style="68" customWidth="1"/>
    <col min="12292" max="12293" width="11.42578125" style="68"/>
    <col min="12294" max="12294" width="21.42578125" style="68" customWidth="1"/>
    <col min="12295" max="12297" width="11.42578125" style="68"/>
    <col min="12298" max="12299" width="3.42578125" style="68" customWidth="1"/>
    <col min="12300" max="12544" width="11.42578125" style="68"/>
    <col min="12545" max="12545" width="6.28515625" style="68" customWidth="1"/>
    <col min="12546" max="12546" width="2.140625" style="68" customWidth="1"/>
    <col min="12547" max="12547" width="5.140625" style="68" customWidth="1"/>
    <col min="12548" max="12549" width="11.42578125" style="68"/>
    <col min="12550" max="12550" width="21.42578125" style="68" customWidth="1"/>
    <col min="12551" max="12553" width="11.42578125" style="68"/>
    <col min="12554" max="12555" width="3.42578125" style="68" customWidth="1"/>
    <col min="12556" max="12800" width="11.42578125" style="68"/>
    <col min="12801" max="12801" width="6.28515625" style="68" customWidth="1"/>
    <col min="12802" max="12802" width="2.140625" style="68" customWidth="1"/>
    <col min="12803" max="12803" width="5.140625" style="68" customWidth="1"/>
    <col min="12804" max="12805" width="11.42578125" style="68"/>
    <col min="12806" max="12806" width="21.42578125" style="68" customWidth="1"/>
    <col min="12807" max="12809" width="11.42578125" style="68"/>
    <col min="12810" max="12811" width="3.42578125" style="68" customWidth="1"/>
    <col min="12812" max="13056" width="11.42578125" style="68"/>
    <col min="13057" max="13057" width="6.28515625" style="68" customWidth="1"/>
    <col min="13058" max="13058" width="2.140625" style="68" customWidth="1"/>
    <col min="13059" max="13059" width="5.140625" style="68" customWidth="1"/>
    <col min="13060" max="13061" width="11.42578125" style="68"/>
    <col min="13062" max="13062" width="21.42578125" style="68" customWidth="1"/>
    <col min="13063" max="13065" width="11.42578125" style="68"/>
    <col min="13066" max="13067" width="3.42578125" style="68" customWidth="1"/>
    <col min="13068" max="13312" width="11.42578125" style="68"/>
    <col min="13313" max="13313" width="6.28515625" style="68" customWidth="1"/>
    <col min="13314" max="13314" width="2.140625" style="68" customWidth="1"/>
    <col min="13315" max="13315" width="5.140625" style="68" customWidth="1"/>
    <col min="13316" max="13317" width="11.42578125" style="68"/>
    <col min="13318" max="13318" width="21.42578125" style="68" customWidth="1"/>
    <col min="13319" max="13321" width="11.42578125" style="68"/>
    <col min="13322" max="13323" width="3.42578125" style="68" customWidth="1"/>
    <col min="13324" max="13568" width="11.42578125" style="68"/>
    <col min="13569" max="13569" width="6.28515625" style="68" customWidth="1"/>
    <col min="13570" max="13570" width="2.140625" style="68" customWidth="1"/>
    <col min="13571" max="13571" width="5.140625" style="68" customWidth="1"/>
    <col min="13572" max="13573" width="11.42578125" style="68"/>
    <col min="13574" max="13574" width="21.42578125" style="68" customWidth="1"/>
    <col min="13575" max="13577" width="11.42578125" style="68"/>
    <col min="13578" max="13579" width="3.42578125" style="68" customWidth="1"/>
    <col min="13580" max="13824" width="11.42578125" style="68"/>
    <col min="13825" max="13825" width="6.28515625" style="68" customWidth="1"/>
    <col min="13826" max="13826" width="2.140625" style="68" customWidth="1"/>
    <col min="13827" max="13827" width="5.140625" style="68" customWidth="1"/>
    <col min="13828" max="13829" width="11.42578125" style="68"/>
    <col min="13830" max="13830" width="21.42578125" style="68" customWidth="1"/>
    <col min="13831" max="13833" width="11.42578125" style="68"/>
    <col min="13834" max="13835" width="3.42578125" style="68" customWidth="1"/>
    <col min="13836" max="14080" width="11.42578125" style="68"/>
    <col min="14081" max="14081" width="6.28515625" style="68" customWidth="1"/>
    <col min="14082" max="14082" width="2.140625" style="68" customWidth="1"/>
    <col min="14083" max="14083" width="5.140625" style="68" customWidth="1"/>
    <col min="14084" max="14085" width="11.42578125" style="68"/>
    <col min="14086" max="14086" width="21.42578125" style="68" customWidth="1"/>
    <col min="14087" max="14089" width="11.42578125" style="68"/>
    <col min="14090" max="14091" width="3.42578125" style="68" customWidth="1"/>
    <col min="14092" max="14336" width="11.42578125" style="68"/>
    <col min="14337" max="14337" width="6.28515625" style="68" customWidth="1"/>
    <col min="14338" max="14338" width="2.140625" style="68" customWidth="1"/>
    <col min="14339" max="14339" width="5.140625" style="68" customWidth="1"/>
    <col min="14340" max="14341" width="11.42578125" style="68"/>
    <col min="14342" max="14342" width="21.42578125" style="68" customWidth="1"/>
    <col min="14343" max="14345" width="11.42578125" style="68"/>
    <col min="14346" max="14347" width="3.42578125" style="68" customWidth="1"/>
    <col min="14348" max="14592" width="11.42578125" style="68"/>
    <col min="14593" max="14593" width="6.28515625" style="68" customWidth="1"/>
    <col min="14594" max="14594" width="2.140625" style="68" customWidth="1"/>
    <col min="14595" max="14595" width="5.140625" style="68" customWidth="1"/>
    <col min="14596" max="14597" width="11.42578125" style="68"/>
    <col min="14598" max="14598" width="21.42578125" style="68" customWidth="1"/>
    <col min="14599" max="14601" width="11.42578125" style="68"/>
    <col min="14602" max="14603" width="3.42578125" style="68" customWidth="1"/>
    <col min="14604" max="14848" width="11.42578125" style="68"/>
    <col min="14849" max="14849" width="6.28515625" style="68" customWidth="1"/>
    <col min="14850" max="14850" width="2.140625" style="68" customWidth="1"/>
    <col min="14851" max="14851" width="5.140625" style="68" customWidth="1"/>
    <col min="14852" max="14853" width="11.42578125" style="68"/>
    <col min="14854" max="14854" width="21.42578125" style="68" customWidth="1"/>
    <col min="14855" max="14857" width="11.42578125" style="68"/>
    <col min="14858" max="14859" width="3.42578125" style="68" customWidth="1"/>
    <col min="14860" max="15104" width="11.42578125" style="68"/>
    <col min="15105" max="15105" width="6.28515625" style="68" customWidth="1"/>
    <col min="15106" max="15106" width="2.140625" style="68" customWidth="1"/>
    <col min="15107" max="15107" width="5.140625" style="68" customWidth="1"/>
    <col min="15108" max="15109" width="11.42578125" style="68"/>
    <col min="15110" max="15110" width="21.42578125" style="68" customWidth="1"/>
    <col min="15111" max="15113" width="11.42578125" style="68"/>
    <col min="15114" max="15115" width="3.42578125" style="68" customWidth="1"/>
    <col min="15116" max="15360" width="11.42578125" style="68"/>
    <col min="15361" max="15361" width="6.28515625" style="68" customWidth="1"/>
    <col min="15362" max="15362" width="2.140625" style="68" customWidth="1"/>
    <col min="15363" max="15363" width="5.140625" style="68" customWidth="1"/>
    <col min="15364" max="15365" width="11.42578125" style="68"/>
    <col min="15366" max="15366" width="21.42578125" style="68" customWidth="1"/>
    <col min="15367" max="15369" width="11.42578125" style="68"/>
    <col min="15370" max="15371" width="3.42578125" style="68" customWidth="1"/>
    <col min="15372" max="15616" width="11.42578125" style="68"/>
    <col min="15617" max="15617" width="6.28515625" style="68" customWidth="1"/>
    <col min="15618" max="15618" width="2.140625" style="68" customWidth="1"/>
    <col min="15619" max="15619" width="5.140625" style="68" customWidth="1"/>
    <col min="15620" max="15621" width="11.42578125" style="68"/>
    <col min="15622" max="15622" width="21.42578125" style="68" customWidth="1"/>
    <col min="15623" max="15625" width="11.42578125" style="68"/>
    <col min="15626" max="15627" width="3.42578125" style="68" customWidth="1"/>
    <col min="15628" max="15872" width="11.42578125" style="68"/>
    <col min="15873" max="15873" width="6.28515625" style="68" customWidth="1"/>
    <col min="15874" max="15874" width="2.140625" style="68" customWidth="1"/>
    <col min="15875" max="15875" width="5.140625" style="68" customWidth="1"/>
    <col min="15876" max="15877" width="11.42578125" style="68"/>
    <col min="15878" max="15878" width="21.42578125" style="68" customWidth="1"/>
    <col min="15879" max="15881" width="11.42578125" style="68"/>
    <col min="15882" max="15883" width="3.42578125" style="68" customWidth="1"/>
    <col min="15884" max="16128" width="11.42578125" style="68"/>
    <col min="16129" max="16129" width="6.28515625" style="68" customWidth="1"/>
    <col min="16130" max="16130" width="2.140625" style="68" customWidth="1"/>
    <col min="16131" max="16131" width="5.140625" style="68" customWidth="1"/>
    <col min="16132" max="16133" width="11.42578125" style="68"/>
    <col min="16134" max="16134" width="21.42578125" style="68" customWidth="1"/>
    <col min="16135" max="16137" width="11.42578125" style="68"/>
    <col min="16138" max="16139" width="3.42578125" style="68" customWidth="1"/>
    <col min="16140" max="16384" width="11.42578125" style="68"/>
  </cols>
  <sheetData>
    <row r="1" spans="1:11" x14ac:dyDescent="0.2">
      <c r="A1" s="108"/>
      <c r="B1" s="108"/>
      <c r="C1" s="108"/>
      <c r="D1" s="108"/>
      <c r="E1" s="108"/>
      <c r="F1" s="108"/>
      <c r="G1" s="108"/>
      <c r="H1" s="108"/>
      <c r="I1" s="108"/>
      <c r="J1" s="108"/>
      <c r="K1" s="108"/>
    </row>
    <row r="2" spans="1:11" ht="38.25" customHeight="1" x14ac:dyDescent="0.25">
      <c r="A2" s="373" t="s">
        <v>140</v>
      </c>
      <c r="B2" s="374"/>
      <c r="C2" s="374"/>
      <c r="D2" s="374"/>
      <c r="E2" s="374"/>
      <c r="F2" s="374"/>
      <c r="G2" s="374"/>
      <c r="H2" s="374"/>
      <c r="I2" s="374"/>
      <c r="J2" s="374"/>
      <c r="K2" s="374"/>
    </row>
    <row r="3" spans="1:11" ht="10.5" customHeight="1" x14ac:dyDescent="0.2">
      <c r="A3" s="108"/>
      <c r="B3" s="108"/>
      <c r="C3" s="108"/>
      <c r="D3" s="108"/>
      <c r="E3" s="108"/>
      <c r="F3" s="108"/>
      <c r="G3" s="108"/>
      <c r="H3" s="108"/>
      <c r="I3" s="108"/>
      <c r="J3" s="108"/>
      <c r="K3" s="108"/>
    </row>
    <row r="4" spans="1:11" ht="12" customHeight="1" x14ac:dyDescent="0.2">
      <c r="A4" s="108"/>
      <c r="B4" s="108"/>
      <c r="C4" s="109"/>
      <c r="D4" s="109"/>
      <c r="E4" s="109"/>
      <c r="F4" s="110"/>
      <c r="G4" s="109"/>
      <c r="H4" s="109"/>
      <c r="I4" s="109"/>
      <c r="J4" s="108"/>
      <c r="K4" s="108"/>
    </row>
    <row r="5" spans="1:11" ht="17.25" customHeight="1" x14ac:dyDescent="0.2">
      <c r="A5" s="108"/>
      <c r="B5" s="108"/>
      <c r="C5" s="108"/>
      <c r="D5" s="108"/>
      <c r="E5" s="108"/>
      <c r="F5" s="108"/>
      <c r="G5" s="108"/>
      <c r="H5" s="108"/>
      <c r="I5" s="108"/>
      <c r="J5" s="108"/>
      <c r="K5" s="108"/>
    </row>
    <row r="6" spans="1:11" ht="4.5" customHeight="1" x14ac:dyDescent="0.2">
      <c r="A6" s="108"/>
      <c r="B6" s="108"/>
      <c r="C6" s="108"/>
      <c r="D6" s="108"/>
      <c r="E6" s="108"/>
      <c r="F6" s="108"/>
      <c r="G6" s="108"/>
      <c r="H6" s="108"/>
      <c r="I6" s="108"/>
      <c r="J6" s="108"/>
      <c r="K6" s="108"/>
    </row>
    <row r="7" spans="1:11" ht="15.75" customHeight="1" x14ac:dyDescent="0.2">
      <c r="A7" s="371" t="s">
        <v>145</v>
      </c>
      <c r="B7" s="371"/>
      <c r="C7" s="371"/>
      <c r="D7" s="371"/>
      <c r="E7" s="371"/>
      <c r="F7" s="371"/>
      <c r="G7" s="371"/>
      <c r="H7" s="371"/>
      <c r="I7" s="371"/>
      <c r="J7" s="371"/>
      <c r="K7" s="371"/>
    </row>
    <row r="8" spans="1:11" ht="6.75" customHeight="1" x14ac:dyDescent="0.2">
      <c r="A8" s="119"/>
      <c r="B8" s="119"/>
      <c r="C8" s="119"/>
      <c r="D8" s="119"/>
      <c r="E8" s="119"/>
      <c r="F8" s="119"/>
      <c r="G8" s="119"/>
      <c r="H8" s="119"/>
      <c r="I8" s="119"/>
      <c r="J8" s="119"/>
      <c r="K8" s="119"/>
    </row>
    <row r="9" spans="1:11" ht="12.75" customHeight="1" x14ac:dyDescent="0.25">
      <c r="A9" s="119"/>
      <c r="B9" s="119"/>
      <c r="C9" s="119"/>
      <c r="D9" s="136" t="s">
        <v>147</v>
      </c>
      <c r="E9" s="136"/>
      <c r="F9" s="136"/>
      <c r="G9" s="137">
        <v>8</v>
      </c>
      <c r="H9" s="136" t="s">
        <v>141</v>
      </c>
      <c r="I9" s="136" t="s">
        <v>142</v>
      </c>
      <c r="J9" s="136"/>
      <c r="K9" s="119"/>
    </row>
    <row r="10" spans="1:11" ht="4.5" customHeight="1" x14ac:dyDescent="0.25">
      <c r="A10" s="119"/>
      <c r="B10" s="119"/>
      <c r="C10" s="119"/>
      <c r="D10" s="136"/>
      <c r="E10" s="136"/>
      <c r="F10" s="136"/>
      <c r="G10" s="144"/>
      <c r="H10" s="136"/>
      <c r="I10" s="136"/>
      <c r="J10" s="136"/>
      <c r="K10" s="119"/>
    </row>
    <row r="11" spans="1:11" ht="13.5" customHeight="1" x14ac:dyDescent="0.25">
      <c r="A11" s="119"/>
      <c r="B11" s="119"/>
      <c r="C11" s="119"/>
      <c r="D11" s="136"/>
      <c r="E11" s="136"/>
      <c r="F11" s="136"/>
      <c r="G11" s="137">
        <v>8</v>
      </c>
      <c r="H11" s="136" t="s">
        <v>141</v>
      </c>
      <c r="I11" s="136" t="s">
        <v>144</v>
      </c>
      <c r="J11" s="136"/>
      <c r="K11" s="119"/>
    </row>
    <row r="12" spans="1:11" s="108" customFormat="1" ht="6" customHeight="1" x14ac:dyDescent="0.25">
      <c r="A12" s="119"/>
      <c r="B12" s="119"/>
      <c r="C12" s="119"/>
      <c r="D12" s="136"/>
      <c r="E12" s="136"/>
      <c r="F12" s="136"/>
      <c r="G12" s="144"/>
      <c r="H12" s="136"/>
      <c r="I12" s="136"/>
      <c r="J12" s="136"/>
      <c r="K12" s="119"/>
    </row>
    <row r="13" spans="1:11" ht="15" customHeight="1" x14ac:dyDescent="0.25">
      <c r="A13" s="119"/>
      <c r="B13" s="119"/>
      <c r="C13" s="119"/>
      <c r="D13" s="136"/>
      <c r="E13" s="136"/>
      <c r="F13" s="136"/>
      <c r="G13" s="137">
        <v>300</v>
      </c>
      <c r="H13" s="136" t="s">
        <v>143</v>
      </c>
      <c r="I13" s="136"/>
      <c r="J13" s="136"/>
      <c r="K13" s="119"/>
    </row>
    <row r="14" spans="1:11" ht="15" customHeight="1" x14ac:dyDescent="0.2">
      <c r="A14" s="119"/>
      <c r="B14" s="119"/>
      <c r="C14" s="119"/>
      <c r="D14" s="119"/>
      <c r="E14" s="119"/>
      <c r="F14" s="119"/>
      <c r="G14" s="162"/>
      <c r="H14" s="119"/>
      <c r="I14" s="119"/>
      <c r="J14" s="119"/>
      <c r="K14" s="119"/>
    </row>
    <row r="15" spans="1:11" ht="15" customHeight="1" x14ac:dyDescent="0.2">
      <c r="A15" s="371" t="s">
        <v>146</v>
      </c>
      <c r="B15" s="371"/>
      <c r="C15" s="371"/>
      <c r="D15" s="371"/>
      <c r="E15" s="371"/>
      <c r="F15" s="371"/>
      <c r="G15" s="371"/>
      <c r="H15" s="371"/>
      <c r="I15" s="371"/>
      <c r="J15" s="371"/>
      <c r="K15" s="371"/>
    </row>
    <row r="16" spans="1:11" ht="12" customHeight="1" x14ac:dyDescent="0.2">
      <c r="A16" s="119"/>
      <c r="B16" s="119"/>
      <c r="C16" s="112"/>
      <c r="D16" s="119"/>
      <c r="E16" s="119"/>
      <c r="F16" s="119"/>
      <c r="G16" s="163"/>
      <c r="H16" s="119"/>
      <c r="I16" s="119"/>
      <c r="J16" s="119"/>
      <c r="K16" s="119"/>
    </row>
    <row r="17" spans="1:11" ht="12" customHeight="1" x14ac:dyDescent="0.25">
      <c r="A17" s="136"/>
      <c r="B17" s="136"/>
      <c r="C17" s="139"/>
      <c r="D17" s="140" t="s">
        <v>148</v>
      </c>
      <c r="E17" s="136"/>
      <c r="F17" s="136"/>
      <c r="G17" s="137">
        <v>12</v>
      </c>
      <c r="H17" s="136" t="s">
        <v>141</v>
      </c>
      <c r="I17" s="136"/>
      <c r="J17" s="136"/>
      <c r="K17" s="136"/>
    </row>
    <row r="18" spans="1:11" s="70" customFormat="1" ht="3.75" customHeight="1" x14ac:dyDescent="0.25">
      <c r="A18" s="141"/>
      <c r="B18" s="141"/>
      <c r="C18" s="142"/>
      <c r="D18" s="143"/>
      <c r="E18" s="141"/>
      <c r="F18" s="141"/>
      <c r="G18" s="144"/>
      <c r="H18" s="141"/>
      <c r="I18" s="141"/>
      <c r="J18" s="141"/>
      <c r="K18" s="141"/>
    </row>
    <row r="19" spans="1:11" ht="12" customHeight="1" x14ac:dyDescent="0.25">
      <c r="A19" s="136"/>
      <c r="B19" s="136"/>
      <c r="C19" s="139"/>
      <c r="D19" s="136"/>
      <c r="E19" s="136"/>
      <c r="F19" s="136"/>
      <c r="G19" s="157">
        <v>300</v>
      </c>
      <c r="H19" s="136" t="s">
        <v>143</v>
      </c>
      <c r="I19" s="136"/>
      <c r="J19" s="136"/>
      <c r="K19" s="136"/>
    </row>
    <row r="20" spans="1:11" ht="12" customHeight="1" x14ac:dyDescent="0.25">
      <c r="A20" s="136"/>
      <c r="B20" s="136"/>
      <c r="C20" s="139"/>
      <c r="D20" s="136"/>
      <c r="E20" s="136"/>
      <c r="F20" s="136"/>
      <c r="G20" s="144"/>
      <c r="H20" s="136"/>
      <c r="I20" s="136"/>
      <c r="J20" s="136"/>
      <c r="K20" s="136"/>
    </row>
    <row r="21" spans="1:11" ht="16.5" customHeight="1" x14ac:dyDescent="0.25">
      <c r="A21" s="136"/>
      <c r="B21" s="136"/>
      <c r="C21" s="136"/>
      <c r="D21" s="140" t="s">
        <v>185</v>
      </c>
      <c r="E21" s="136"/>
      <c r="F21" s="136"/>
      <c r="G21" s="145"/>
      <c r="H21" s="136"/>
      <c r="I21" s="136"/>
      <c r="J21" s="136"/>
      <c r="K21" s="136"/>
    </row>
    <row r="22" spans="1:11" ht="15" x14ac:dyDescent="0.25">
      <c r="A22" s="136"/>
      <c r="B22" s="136"/>
      <c r="C22" s="136"/>
      <c r="D22" s="136" t="s">
        <v>182</v>
      </c>
      <c r="E22" s="136"/>
      <c r="F22" s="136"/>
      <c r="G22" s="137">
        <v>10</v>
      </c>
      <c r="H22" s="136"/>
      <c r="I22" s="136"/>
      <c r="J22" s="136"/>
      <c r="K22" s="136"/>
    </row>
    <row r="23" spans="1:11" ht="5.25" customHeight="1" x14ac:dyDescent="0.2">
      <c r="A23" s="136"/>
      <c r="B23" s="136"/>
      <c r="C23" s="136"/>
      <c r="D23" s="136"/>
      <c r="E23" s="136"/>
      <c r="F23" s="136"/>
      <c r="G23" s="145">
        <v>2</v>
      </c>
      <c r="H23" s="136"/>
      <c r="I23" s="136"/>
      <c r="J23" s="136"/>
      <c r="K23" s="136"/>
    </row>
    <row r="24" spans="1:11" ht="15" x14ac:dyDescent="0.25">
      <c r="A24" s="136"/>
      <c r="B24" s="136"/>
      <c r="C24" s="136"/>
      <c r="D24" s="136" t="s">
        <v>183</v>
      </c>
      <c r="E24" s="136"/>
      <c r="F24" s="136"/>
      <c r="G24" s="137">
        <v>2</v>
      </c>
      <c r="H24" s="136"/>
      <c r="I24" s="136"/>
      <c r="J24" s="136"/>
      <c r="K24" s="136"/>
    </row>
    <row r="25" spans="1:11" ht="26.25" customHeight="1" x14ac:dyDescent="0.2">
      <c r="A25" s="375" t="str">
        <f>IF(G24=0,"Error!, tiene que introducir un intervalo de tiempo, no tiene caso instalar un detector de presencia si hay presencia permanente",IF('detector presencia'!H3&gt;G17,"(Error ! El tiempo de permanencia no puede ser superior al tiempo de ocupación del área!)",IF('detector presencia'!H3&gt;'detector presencia'!I3,"(Error !  La instalación de un detector de presencia tiene sentido si el tiempo de permanencia es inferior o igual al intervalor de tiempo entre 2 permanencias !)","" )))</f>
        <v>(Error !  La instalación de un detector de presencia tiene sentido si el tiempo de permanencia es inferior o igual al intervalor de tiempo entre 2 permanencias !)</v>
      </c>
      <c r="B25" s="375"/>
      <c r="C25" s="375"/>
      <c r="D25" s="375"/>
      <c r="E25" s="375"/>
      <c r="F25" s="375"/>
      <c r="G25" s="375"/>
      <c r="H25" s="375"/>
      <c r="I25" s="375"/>
      <c r="J25" s="136"/>
      <c r="K25" s="136"/>
    </row>
    <row r="26" spans="1:11" ht="12.75" customHeight="1" x14ac:dyDescent="0.2">
      <c r="A26" s="136"/>
      <c r="B26" s="136"/>
      <c r="C26" s="136"/>
      <c r="D26" s="136" t="str">
        <f>IF('detector presencia'!C5=1,IF('4. MAE Detector presencia'!G24/60&gt;'4. MAE Detector presencia'!G9,"Attention, il y a présence en dehors des heures d'occupation journalières",""),IF('4. MAE Detector presencia'!G24&gt;'4. MAE Detector presencia'!G9,"Attention, il y a présence en dehors des heures d'occupation journalières",""))</f>
        <v/>
      </c>
      <c r="E26" s="136"/>
      <c r="F26" s="136"/>
      <c r="G26" s="136"/>
      <c r="H26" s="136"/>
      <c r="I26" s="136"/>
      <c r="J26" s="136"/>
      <c r="K26" s="136"/>
    </row>
    <row r="27" spans="1:11" ht="0.75" customHeight="1" x14ac:dyDescent="0.2">
      <c r="A27" s="136"/>
      <c r="B27" s="136"/>
      <c r="C27" s="136"/>
      <c r="D27" s="136"/>
      <c r="E27" s="136"/>
      <c r="F27" s="136"/>
      <c r="G27" s="136"/>
      <c r="H27" s="136"/>
      <c r="I27" s="136"/>
      <c r="J27" s="136"/>
      <c r="K27" s="136"/>
    </row>
    <row r="28" spans="1:11" ht="12.75" customHeight="1" x14ac:dyDescent="0.25">
      <c r="A28" s="136"/>
      <c r="B28" s="136"/>
      <c r="C28" s="136"/>
      <c r="D28" s="140" t="s">
        <v>186</v>
      </c>
      <c r="E28" s="136"/>
      <c r="F28" s="136"/>
      <c r="G28" s="146"/>
      <c r="H28" s="136"/>
      <c r="I28" s="136"/>
      <c r="J28" s="136"/>
      <c r="K28" s="136"/>
    </row>
    <row r="29" spans="1:11" ht="12.75" customHeight="1" x14ac:dyDescent="0.25">
      <c r="A29" s="136"/>
      <c r="B29" s="136"/>
      <c r="C29" s="136"/>
      <c r="D29" s="136" t="s">
        <v>182</v>
      </c>
      <c r="E29" s="136"/>
      <c r="F29" s="136"/>
      <c r="G29" s="137">
        <v>0</v>
      </c>
      <c r="H29" s="136"/>
      <c r="I29" s="136"/>
      <c r="J29" s="136"/>
      <c r="K29" s="136"/>
    </row>
    <row r="30" spans="1:11" ht="4.5" customHeight="1" x14ac:dyDescent="0.2">
      <c r="A30" s="136"/>
      <c r="B30" s="136"/>
      <c r="C30" s="136"/>
      <c r="D30" s="136"/>
      <c r="E30" s="136"/>
      <c r="F30" s="136"/>
      <c r="G30" s="146">
        <v>1</v>
      </c>
      <c r="H30" s="136"/>
      <c r="I30" s="136"/>
      <c r="J30" s="136"/>
      <c r="K30" s="136"/>
    </row>
    <row r="31" spans="1:11" ht="12.75" customHeight="1" x14ac:dyDescent="0.25">
      <c r="A31" s="136"/>
      <c r="B31" s="136"/>
      <c r="C31" s="136"/>
      <c r="D31" s="136" t="s">
        <v>183</v>
      </c>
      <c r="E31" s="136"/>
      <c r="F31" s="136"/>
      <c r="G31" s="137">
        <v>0</v>
      </c>
      <c r="H31" s="136"/>
      <c r="I31" s="136"/>
      <c r="J31" s="136"/>
      <c r="K31" s="136"/>
    </row>
    <row r="32" spans="1:11" ht="26.25" customHeight="1" x14ac:dyDescent="0.2">
      <c r="A32" s="375" t="str">
        <f>IF('detector presencia'!H4&gt;ABS('detector presencia'!I3-'detector presencia'!H3),"(Error ! El tiempo de permanencia ocasional no puede exceder el tiempo de permanencia regular!)",IF('detector presencia'!H4&gt;'detector presencia'!I4,"(Error !  La instalación de un detector de presencia tiene sentido si el tiempo de permanencia es inferior o igual al intervalor de tiempo entre 2 permanencias !)","" ))</f>
        <v/>
      </c>
      <c r="B32" s="375"/>
      <c r="C32" s="375"/>
      <c r="D32" s="375"/>
      <c r="E32" s="375"/>
      <c r="F32" s="375"/>
      <c r="G32" s="375"/>
      <c r="H32" s="375"/>
      <c r="I32" s="375"/>
      <c r="J32" s="136"/>
      <c r="K32" s="136"/>
    </row>
    <row r="33" spans="1:11" ht="12.75" customHeight="1" x14ac:dyDescent="0.2">
      <c r="A33" s="136"/>
      <c r="B33" s="136"/>
      <c r="C33" s="136"/>
      <c r="D33" s="136"/>
      <c r="E33" s="136"/>
      <c r="F33" s="136"/>
      <c r="G33" s="136"/>
      <c r="H33" s="165"/>
      <c r="I33" s="164"/>
      <c r="J33" s="136"/>
      <c r="K33" s="136"/>
    </row>
    <row r="34" spans="1:11" ht="12.75" customHeight="1" x14ac:dyDescent="0.25">
      <c r="A34" s="136"/>
      <c r="B34" s="136"/>
      <c r="C34" s="136"/>
      <c r="D34" s="140" t="s">
        <v>184</v>
      </c>
      <c r="E34" s="136"/>
      <c r="F34" s="136"/>
      <c r="G34" s="136"/>
      <c r="H34" s="165"/>
      <c r="I34" s="136"/>
      <c r="J34" s="136"/>
      <c r="K34" s="136"/>
    </row>
    <row r="35" spans="1:11" ht="12.75" customHeight="1" x14ac:dyDescent="0.25">
      <c r="A35" s="136"/>
      <c r="B35" s="136"/>
      <c r="C35" s="136"/>
      <c r="D35" s="136" t="s">
        <v>182</v>
      </c>
      <c r="E35" s="136"/>
      <c r="F35" s="136"/>
      <c r="G35" s="137">
        <v>0</v>
      </c>
      <c r="H35" s="165"/>
      <c r="I35" s="136"/>
      <c r="J35" s="136"/>
      <c r="K35" s="136"/>
    </row>
    <row r="36" spans="1:11" ht="5.25" customHeight="1" x14ac:dyDescent="0.2">
      <c r="A36" s="136"/>
      <c r="B36" s="136"/>
      <c r="C36" s="136"/>
      <c r="D36" s="136"/>
      <c r="E36" s="136"/>
      <c r="F36" s="136"/>
      <c r="G36" s="146"/>
      <c r="H36" s="165"/>
      <c r="I36" s="136"/>
      <c r="J36" s="136"/>
      <c r="K36" s="136"/>
    </row>
    <row r="37" spans="1:11" ht="12.75" customHeight="1" x14ac:dyDescent="0.25">
      <c r="A37" s="136"/>
      <c r="B37" s="136"/>
      <c r="C37" s="136"/>
      <c r="D37" s="136" t="s">
        <v>183</v>
      </c>
      <c r="E37" s="136"/>
      <c r="F37" s="136"/>
      <c r="G37" s="137">
        <v>0</v>
      </c>
      <c r="H37" s="165"/>
      <c r="I37" s="136"/>
      <c r="J37" s="136"/>
      <c r="K37" s="136"/>
    </row>
    <row r="38" spans="1:11" ht="12.75" customHeight="1" x14ac:dyDescent="0.2">
      <c r="A38" s="136"/>
      <c r="B38" s="136"/>
      <c r="C38" s="136"/>
      <c r="D38" s="136"/>
      <c r="E38" s="136"/>
      <c r="F38" s="136"/>
      <c r="G38" s="136"/>
      <c r="H38" s="165"/>
      <c r="I38" s="289" t="str">
        <f>IF('detector presencia'!H5&gt;(24-G17),"(Error ! El tiempo de permanencia durante la noche es demasiado importante!)",IF('detector presencia'!H5&gt;'detector presencia'!I5,"(Error !  La instalación de un detector de presencia tiene sentido si el tiempo de permanencia es inferior o igual al intervalor de tiempo entre 2 permanencias !)","" ))</f>
        <v/>
      </c>
      <c r="J38" s="136"/>
      <c r="K38" s="136"/>
    </row>
    <row r="39" spans="1:11" ht="12.75" customHeight="1" x14ac:dyDescent="0.2">
      <c r="A39" s="136"/>
      <c r="B39" s="136"/>
      <c r="C39" s="136"/>
      <c r="D39" s="136"/>
      <c r="E39" s="136"/>
      <c r="F39" s="136"/>
      <c r="G39" s="136"/>
      <c r="H39" s="165"/>
      <c r="I39" s="164"/>
      <c r="J39" s="136"/>
      <c r="K39" s="136"/>
    </row>
    <row r="40" spans="1:11" ht="15.75" customHeight="1" x14ac:dyDescent="0.2">
      <c r="A40" s="371" t="s">
        <v>187</v>
      </c>
      <c r="B40" s="371"/>
      <c r="C40" s="371"/>
      <c r="D40" s="371"/>
      <c r="E40" s="371"/>
      <c r="F40" s="371"/>
      <c r="G40" s="371"/>
      <c r="H40" s="371"/>
      <c r="I40" s="371"/>
      <c r="J40" s="371"/>
      <c r="K40" s="371"/>
    </row>
    <row r="41" spans="1:11" ht="7.5" customHeight="1" x14ac:dyDescent="0.2">
      <c r="A41" s="136"/>
      <c r="B41" s="136"/>
      <c r="C41" s="136"/>
      <c r="D41" s="136"/>
      <c r="E41" s="136"/>
      <c r="F41" s="136"/>
      <c r="G41" s="154"/>
      <c r="H41" s="136"/>
      <c r="I41" s="136"/>
      <c r="J41" s="136"/>
      <c r="K41" s="136"/>
    </row>
    <row r="42" spans="1:11" ht="14.25" x14ac:dyDescent="0.2">
      <c r="A42" s="136"/>
      <c r="B42" s="136"/>
      <c r="C42" s="136"/>
      <c r="D42" s="136" t="s">
        <v>188</v>
      </c>
      <c r="E42" s="136"/>
      <c r="F42" s="136"/>
      <c r="G42" s="136"/>
      <c r="H42" s="136"/>
      <c r="I42" s="136"/>
      <c r="J42" s="136"/>
      <c r="K42" s="136"/>
    </row>
    <row r="43" spans="1:11" ht="3.75" customHeight="1" x14ac:dyDescent="0.2">
      <c r="A43" s="136"/>
      <c r="B43" s="136"/>
      <c r="C43" s="136"/>
      <c r="D43" s="136"/>
      <c r="E43" s="136"/>
      <c r="F43" s="136"/>
      <c r="G43" s="136"/>
      <c r="H43" s="136"/>
      <c r="I43" s="136"/>
      <c r="J43" s="136"/>
      <c r="K43" s="136"/>
    </row>
    <row r="44" spans="1:11" ht="14.25" x14ac:dyDescent="0.2">
      <c r="A44" s="136"/>
      <c r="B44" s="136"/>
      <c r="C44" s="136"/>
      <c r="D44" s="136" t="s">
        <v>189</v>
      </c>
      <c r="E44" s="136"/>
      <c r="F44" s="136"/>
      <c r="G44" s="136"/>
      <c r="H44" s="136"/>
      <c r="I44" s="136"/>
      <c r="J44" s="136"/>
      <c r="K44" s="136"/>
    </row>
    <row r="45" spans="1:11" ht="14.25" customHeight="1" x14ac:dyDescent="0.2">
      <c r="A45" s="136"/>
      <c r="B45" s="136"/>
      <c r="C45" s="136"/>
      <c r="D45" s="136"/>
      <c r="E45" s="136"/>
      <c r="F45" s="136"/>
      <c r="G45" s="149"/>
      <c r="H45" s="148"/>
      <c r="I45" s="147" t="str">
        <f>IF('detector presencia'!D23&lt;2,IF('detector presencia'!C11&lt;4,"",IF('detector presencia'!C11=8,"","(Ojo, las lámparas fluorescentes requieren de un balastro!)")),IF('detector presencia'!C11&lt;4,"(Ojo, las lámparas incandescentes y halógenas funcionan sin balastro!)",""))</f>
        <v/>
      </c>
      <c r="J45" s="136"/>
      <c r="K45" s="136"/>
    </row>
    <row r="46" spans="1:11" ht="15" x14ac:dyDescent="0.25">
      <c r="A46" s="136"/>
      <c r="B46" s="136"/>
      <c r="C46" s="136"/>
      <c r="D46" s="136" t="s">
        <v>190</v>
      </c>
      <c r="E46" s="136"/>
      <c r="F46" s="136"/>
      <c r="G46" s="137">
        <v>32</v>
      </c>
      <c r="H46" s="136" t="s">
        <v>84</v>
      </c>
      <c r="I46" s="136"/>
      <c r="J46" s="136"/>
      <c r="K46" s="136"/>
    </row>
    <row r="47" spans="1:11" ht="14.25" customHeight="1" x14ac:dyDescent="0.2">
      <c r="A47" s="136"/>
      <c r="B47" s="136"/>
      <c r="C47" s="136"/>
      <c r="D47" s="136"/>
      <c r="E47" s="136"/>
      <c r="F47" s="136"/>
      <c r="G47" s="145"/>
      <c r="H47" s="136"/>
      <c r="I47" s="136"/>
      <c r="J47" s="136"/>
      <c r="K47" s="136"/>
    </row>
    <row r="48" spans="1:11" ht="15" x14ac:dyDescent="0.25">
      <c r="A48" s="136"/>
      <c r="B48" s="136"/>
      <c r="C48" s="136"/>
      <c r="D48" s="136" t="s">
        <v>191</v>
      </c>
      <c r="E48" s="136"/>
      <c r="F48" s="136"/>
      <c r="G48" s="137">
        <v>20</v>
      </c>
      <c r="H48" s="136" t="s">
        <v>192</v>
      </c>
      <c r="I48" s="136"/>
      <c r="J48" s="136"/>
      <c r="K48" s="136"/>
    </row>
    <row r="49" spans="1:11" ht="3.75" customHeight="1" x14ac:dyDescent="0.2">
      <c r="A49" s="136"/>
      <c r="B49" s="136"/>
      <c r="C49" s="136"/>
      <c r="D49" s="136"/>
      <c r="E49" s="136"/>
      <c r="F49" s="136"/>
      <c r="G49" s="145"/>
      <c r="H49" s="136"/>
      <c r="I49" s="136"/>
      <c r="J49" s="136"/>
      <c r="K49" s="136"/>
    </row>
    <row r="50" spans="1:11" ht="15" x14ac:dyDescent="0.25">
      <c r="A50" s="136"/>
      <c r="B50" s="136"/>
      <c r="C50" s="136"/>
      <c r="D50" s="136" t="s">
        <v>194</v>
      </c>
      <c r="E50" s="136"/>
      <c r="F50" s="136"/>
      <c r="G50" s="137">
        <v>300</v>
      </c>
      <c r="H50" s="136" t="s">
        <v>218</v>
      </c>
      <c r="I50" s="136" t="str">
        <f>IF(G50='detector presencia'!B44,"(Precio indicativo)","")</f>
        <v/>
      </c>
      <c r="J50" s="136"/>
      <c r="K50" s="136"/>
    </row>
    <row r="51" spans="1:11" ht="4.5" customHeight="1" x14ac:dyDescent="0.2">
      <c r="A51" s="136"/>
      <c r="B51" s="136"/>
      <c r="C51" s="136"/>
      <c r="D51" s="150"/>
      <c r="E51" s="136"/>
      <c r="F51" s="136"/>
      <c r="G51" s="153" t="str">
        <f>IF(OR('detector presencia'!B44="x",'detector presencia'!B44="?")=TRUE,'detector presencia'!B44,'detector presencia'!B44*0.65)</f>
        <v>?</v>
      </c>
      <c r="H51" s="154" t="s">
        <v>193</v>
      </c>
      <c r="I51" s="136"/>
      <c r="J51" s="136"/>
      <c r="K51" s="136"/>
    </row>
    <row r="52" spans="1:11" ht="15" hidden="1" customHeight="1" x14ac:dyDescent="0.2">
      <c r="A52" s="136"/>
      <c r="B52" s="136"/>
      <c r="C52" s="136"/>
      <c r="D52" s="136"/>
      <c r="E52" s="136"/>
      <c r="F52" s="136"/>
      <c r="G52" s="169" t="str">
        <f>IF(G51="?","La herramients desconoce el precio de esta lámpara,",IF(G51="x","Esta potencia es desconocida,",""))</f>
        <v>La herramients desconoce el precio de esta lámpara,</v>
      </c>
      <c r="H52" s="148"/>
      <c r="I52" s="136"/>
      <c r="J52" s="136"/>
      <c r="K52" s="136"/>
    </row>
    <row r="53" spans="1:11" ht="13.5" hidden="1" customHeight="1" x14ac:dyDescent="0.2">
      <c r="A53" s="136"/>
      <c r="B53" s="136"/>
      <c r="C53" s="136"/>
      <c r="D53" s="136"/>
      <c r="E53" s="136"/>
      <c r="F53" s="136"/>
      <c r="G53" s="169" t="str">
        <f>IF(G51="?","Indicar el precio de la lámpara",IF(G51="x","Verificar la potencia o indicar el precio correspondiente",""))</f>
        <v>Indicar el precio de la lámpara</v>
      </c>
      <c r="H53" s="148"/>
      <c r="I53" s="136"/>
      <c r="J53" s="136"/>
      <c r="K53" s="136"/>
    </row>
    <row r="54" spans="1:11" ht="3" customHeight="1" x14ac:dyDescent="0.2">
      <c r="A54" s="136"/>
      <c r="B54" s="136"/>
      <c r="C54" s="136"/>
      <c r="D54" s="136"/>
      <c r="E54" s="136"/>
      <c r="F54" s="136"/>
      <c r="G54" s="151"/>
      <c r="H54" s="148"/>
      <c r="I54" s="136"/>
      <c r="J54" s="136"/>
      <c r="K54" s="136"/>
    </row>
    <row r="55" spans="1:11" ht="14.25" x14ac:dyDescent="0.2">
      <c r="A55" s="136"/>
      <c r="B55" s="136"/>
      <c r="C55" s="136"/>
      <c r="D55" s="136" t="s">
        <v>195</v>
      </c>
      <c r="E55" s="136"/>
      <c r="F55" s="136"/>
      <c r="G55" s="151"/>
      <c r="H55" s="149"/>
      <c r="I55" s="136"/>
      <c r="J55" s="136"/>
      <c r="K55" s="136"/>
    </row>
    <row r="56" spans="1:11" ht="15" x14ac:dyDescent="0.25">
      <c r="A56" s="136"/>
      <c r="B56" s="136"/>
      <c r="C56" s="136"/>
      <c r="D56" s="136" t="s">
        <v>196</v>
      </c>
      <c r="E56" s="136"/>
      <c r="F56" s="136"/>
      <c r="G56" s="137">
        <v>20</v>
      </c>
      <c r="H56" s="136" t="s">
        <v>218</v>
      </c>
      <c r="I56" s="136"/>
      <c r="J56" s="136"/>
      <c r="K56" s="136"/>
    </row>
    <row r="57" spans="1:11" ht="12.75" customHeight="1" x14ac:dyDescent="0.2">
      <c r="A57" s="136"/>
      <c r="B57" s="136"/>
      <c r="C57" s="136"/>
      <c r="D57" s="150" t="s">
        <v>335</v>
      </c>
      <c r="E57" s="136"/>
      <c r="F57" s="136"/>
      <c r="G57" s="152">
        <v>20</v>
      </c>
      <c r="H57" s="136" t="s">
        <v>218</v>
      </c>
      <c r="I57" s="136"/>
      <c r="J57" s="136"/>
      <c r="K57" s="136"/>
    </row>
    <row r="58" spans="1:11" ht="12.75" customHeight="1" x14ac:dyDescent="0.2">
      <c r="A58" s="108"/>
      <c r="B58" s="108"/>
      <c r="C58" s="108"/>
      <c r="D58" s="113"/>
      <c r="E58" s="108"/>
      <c r="F58" s="108"/>
      <c r="G58" s="115"/>
      <c r="H58" s="108"/>
      <c r="I58" s="108"/>
      <c r="J58" s="108"/>
      <c r="K58" s="108"/>
    </row>
    <row r="59" spans="1:11" ht="12.75" customHeight="1" x14ac:dyDescent="0.2">
      <c r="A59" s="108"/>
      <c r="B59" s="108"/>
      <c r="C59" s="108"/>
      <c r="D59" s="113"/>
      <c r="E59" s="108"/>
      <c r="F59" s="108"/>
      <c r="G59" s="115"/>
      <c r="H59" s="108"/>
      <c r="I59" s="108"/>
      <c r="J59" s="108"/>
      <c r="K59" s="108"/>
    </row>
    <row r="60" spans="1:11" ht="18.75" customHeight="1" x14ac:dyDescent="0.2">
      <c r="A60" s="371" t="s">
        <v>197</v>
      </c>
      <c r="B60" s="371"/>
      <c r="C60" s="371"/>
      <c r="D60" s="371"/>
      <c r="E60" s="371"/>
      <c r="F60" s="371"/>
      <c r="G60" s="371"/>
      <c r="H60" s="371"/>
      <c r="I60" s="371"/>
      <c r="J60" s="371"/>
      <c r="K60" s="371"/>
    </row>
    <row r="61" spans="1:11" ht="3.75" customHeight="1" x14ac:dyDescent="0.2">
      <c r="A61" s="108"/>
      <c r="B61" s="108"/>
      <c r="C61" s="108"/>
      <c r="D61" s="108"/>
      <c r="E61" s="108"/>
      <c r="F61" s="108"/>
      <c r="G61" s="114"/>
      <c r="H61" s="118"/>
      <c r="I61" s="118"/>
      <c r="J61" s="118"/>
      <c r="K61" s="108"/>
    </row>
    <row r="62" spans="1:11" ht="15" x14ac:dyDescent="0.25">
      <c r="A62" s="108"/>
      <c r="B62" s="108"/>
      <c r="C62" s="136"/>
      <c r="D62" s="136" t="s">
        <v>198</v>
      </c>
      <c r="E62" s="136"/>
      <c r="F62" s="136"/>
      <c r="G62" s="137">
        <v>2000</v>
      </c>
      <c r="H62" s="136" t="s">
        <v>199</v>
      </c>
      <c r="I62" s="154"/>
      <c r="J62" s="118"/>
      <c r="K62" s="108"/>
    </row>
    <row r="63" spans="1:11" ht="4.5" customHeight="1" x14ac:dyDescent="0.2">
      <c r="A63" s="108"/>
      <c r="B63" s="108"/>
      <c r="C63" s="136"/>
      <c r="D63" s="136"/>
      <c r="E63" s="136"/>
      <c r="F63" s="136"/>
      <c r="G63" s="155"/>
      <c r="H63" s="154"/>
      <c r="I63" s="154"/>
      <c r="J63" s="118"/>
      <c r="K63" s="108"/>
    </row>
    <row r="64" spans="1:11" ht="15" x14ac:dyDescent="0.25">
      <c r="A64" s="108"/>
      <c r="B64" s="108"/>
      <c r="C64" s="136"/>
      <c r="D64" s="136" t="s">
        <v>201</v>
      </c>
      <c r="E64" s="136"/>
      <c r="F64" s="136"/>
      <c r="G64" s="137">
        <v>4</v>
      </c>
      <c r="H64" s="136" t="s">
        <v>200</v>
      </c>
      <c r="I64" s="154"/>
      <c r="J64" s="118"/>
      <c r="K64" s="108"/>
    </row>
    <row r="65" spans="1:11" ht="3.75" customHeight="1" x14ac:dyDescent="0.2">
      <c r="A65" s="108"/>
      <c r="B65" s="108"/>
      <c r="C65" s="136"/>
      <c r="D65" s="136"/>
      <c r="E65" s="136"/>
      <c r="F65" s="136"/>
      <c r="G65" s="155"/>
      <c r="H65" s="136"/>
      <c r="I65" s="154"/>
      <c r="J65" s="118"/>
      <c r="K65" s="108"/>
    </row>
    <row r="66" spans="1:11" ht="15" x14ac:dyDescent="0.25">
      <c r="A66" s="108"/>
      <c r="B66" s="108"/>
      <c r="C66" s="136"/>
      <c r="D66" s="136" t="s">
        <v>341</v>
      </c>
      <c r="E66" s="136"/>
      <c r="F66" s="136"/>
      <c r="G66" s="137">
        <v>5</v>
      </c>
      <c r="H66" s="136" t="s">
        <v>342</v>
      </c>
      <c r="I66" s="154"/>
      <c r="J66" s="118"/>
      <c r="K66" s="108"/>
    </row>
    <row r="67" spans="1:11" ht="15" x14ac:dyDescent="0.25">
      <c r="A67" s="108"/>
      <c r="B67" s="108"/>
      <c r="C67" s="136"/>
      <c r="D67" s="136"/>
      <c r="E67" s="136"/>
      <c r="F67" s="136"/>
      <c r="G67" s="158"/>
      <c r="H67" s="154"/>
      <c r="I67" s="154"/>
      <c r="J67" s="118"/>
      <c r="K67" s="108"/>
    </row>
    <row r="68" spans="1:11" ht="15" x14ac:dyDescent="0.25">
      <c r="A68" s="108"/>
      <c r="B68" s="108"/>
      <c r="C68" s="146"/>
      <c r="D68" s="140" t="s">
        <v>202</v>
      </c>
      <c r="E68" s="136"/>
      <c r="F68" s="136"/>
      <c r="G68" s="158"/>
      <c r="H68" s="154"/>
      <c r="I68" s="154"/>
      <c r="J68" s="118"/>
      <c r="K68" s="108"/>
    </row>
    <row r="69" spans="1:11" ht="4.5" customHeight="1" x14ac:dyDescent="0.25">
      <c r="A69" s="108"/>
      <c r="B69" s="108"/>
      <c r="C69" s="136"/>
      <c r="D69" s="136"/>
      <c r="E69" s="136"/>
      <c r="F69" s="136"/>
      <c r="G69" s="138"/>
      <c r="H69" s="154"/>
      <c r="I69" s="154"/>
      <c r="J69" s="118"/>
      <c r="K69" s="108"/>
    </row>
    <row r="70" spans="1:11" ht="13.5" customHeight="1" x14ac:dyDescent="0.25">
      <c r="A70" s="108"/>
      <c r="B70" s="108"/>
      <c r="C70" s="136"/>
      <c r="D70" s="136" t="s">
        <v>219</v>
      </c>
      <c r="E70" s="136"/>
      <c r="F70" s="136"/>
      <c r="G70" s="137">
        <v>2</v>
      </c>
      <c r="H70" s="136" t="s">
        <v>220</v>
      </c>
      <c r="I70" s="154"/>
      <c r="J70" s="118"/>
      <c r="K70" s="108"/>
    </row>
    <row r="71" spans="1:11" ht="4.5" customHeight="1" x14ac:dyDescent="0.25">
      <c r="A71" s="108"/>
      <c r="B71" s="108"/>
      <c r="C71" s="136"/>
      <c r="D71" s="156"/>
      <c r="E71" s="136"/>
      <c r="F71" s="136"/>
      <c r="G71" s="138"/>
      <c r="H71" s="136"/>
      <c r="I71" s="154"/>
      <c r="J71" s="118"/>
      <c r="K71" s="108"/>
    </row>
    <row r="72" spans="1:11" ht="17.25" hidden="1" customHeight="1" x14ac:dyDescent="0.25">
      <c r="A72" s="108"/>
      <c r="B72" s="108"/>
      <c r="C72" s="136"/>
      <c r="D72" s="156"/>
      <c r="E72" s="136"/>
      <c r="F72" s="136"/>
      <c r="G72" s="137">
        <f>G70</f>
        <v>2</v>
      </c>
      <c r="H72" s="136"/>
      <c r="I72" s="154"/>
      <c r="J72" s="118"/>
      <c r="K72" s="108"/>
    </row>
    <row r="73" spans="1:11" ht="4.5" customHeight="1" x14ac:dyDescent="0.2">
      <c r="A73" s="108"/>
      <c r="B73" s="108"/>
      <c r="C73" s="108"/>
      <c r="D73" s="108"/>
      <c r="E73" s="108"/>
      <c r="F73" s="108"/>
      <c r="G73" s="111"/>
      <c r="H73" s="118"/>
      <c r="I73" s="118"/>
      <c r="J73" s="118"/>
      <c r="K73" s="108"/>
    </row>
    <row r="74" spans="1:11" ht="40.5" customHeight="1" x14ac:dyDescent="0.2">
      <c r="A74" s="108"/>
      <c r="B74" s="108"/>
      <c r="C74" s="108"/>
      <c r="D74" s="348" t="s">
        <v>345</v>
      </c>
      <c r="E74" s="348"/>
      <c r="F74" s="348"/>
      <c r="G74" s="348"/>
      <c r="H74" s="348"/>
      <c r="I74" s="348"/>
      <c r="J74" s="348"/>
      <c r="K74" s="108"/>
    </row>
    <row r="75" spans="1:11" x14ac:dyDescent="0.2">
      <c r="A75" s="108"/>
      <c r="B75" s="108"/>
      <c r="C75" s="108"/>
      <c r="D75" s="108"/>
      <c r="E75" s="108"/>
      <c r="F75" s="108"/>
      <c r="G75" s="159"/>
      <c r="H75" s="118"/>
      <c r="I75" s="118"/>
      <c r="J75" s="118"/>
      <c r="K75" s="108"/>
    </row>
    <row r="76" spans="1:11" ht="17.25" customHeight="1" x14ac:dyDescent="0.2">
      <c r="A76" s="369" t="s">
        <v>221</v>
      </c>
      <c r="B76" s="369"/>
      <c r="C76" s="369"/>
      <c r="D76" s="369"/>
      <c r="E76" s="369"/>
      <c r="F76" s="369"/>
      <c r="G76" s="369"/>
      <c r="H76" s="369"/>
      <c r="I76" s="369"/>
      <c r="J76" s="369"/>
      <c r="K76" s="369"/>
    </row>
    <row r="77" spans="1:11" ht="9" customHeight="1" x14ac:dyDescent="0.25">
      <c r="A77" s="109"/>
      <c r="B77" s="109"/>
      <c r="C77" s="142"/>
      <c r="D77" s="141"/>
      <c r="E77" s="141"/>
      <c r="F77" s="141"/>
      <c r="G77" s="141"/>
      <c r="H77" s="141"/>
      <c r="I77" s="141"/>
      <c r="J77" s="141"/>
      <c r="K77" s="109"/>
    </row>
    <row r="78" spans="1:11" ht="15" x14ac:dyDescent="0.25">
      <c r="A78" s="109"/>
      <c r="B78" s="109"/>
      <c r="C78" s="141"/>
      <c r="D78" s="141"/>
      <c r="E78" s="141"/>
      <c r="F78" s="141"/>
      <c r="G78" s="166" t="s">
        <v>223</v>
      </c>
      <c r="H78" s="167"/>
      <c r="I78" s="166" t="s">
        <v>224</v>
      </c>
      <c r="J78" s="141"/>
      <c r="K78" s="109"/>
    </row>
    <row r="79" spans="1:11" ht="1.5" customHeight="1" x14ac:dyDescent="0.2">
      <c r="A79" s="109"/>
      <c r="B79" s="109"/>
      <c r="C79" s="141"/>
      <c r="D79" s="141"/>
      <c r="E79" s="141"/>
      <c r="F79" s="141"/>
      <c r="G79" s="167"/>
      <c r="H79" s="167"/>
      <c r="I79" s="167"/>
      <c r="J79" s="141"/>
      <c r="K79" s="109"/>
    </row>
    <row r="80" spans="1:11" ht="14.25" x14ac:dyDescent="0.2">
      <c r="A80" s="109"/>
      <c r="B80" s="109"/>
      <c r="C80" s="141" t="s">
        <v>227</v>
      </c>
      <c r="D80" s="141"/>
      <c r="E80" s="141"/>
      <c r="F80" s="141"/>
      <c r="G80" s="167">
        <f>(G9+G11)*G13</f>
        <v>4800</v>
      </c>
      <c r="H80" s="167" t="s">
        <v>222</v>
      </c>
      <c r="I80" s="168" t="str">
        <f>IF(AND(I38="",A32="",A25=""),('detector presencia'!J3+'detector presencia'!J4+'detector presencia'!J5)*G19,"Error !")</f>
        <v>Error !</v>
      </c>
      <c r="J80" s="141"/>
      <c r="K80" s="109"/>
    </row>
    <row r="81" spans="1:11" ht="4.5" customHeight="1" x14ac:dyDescent="0.2">
      <c r="A81" s="109"/>
      <c r="B81" s="109"/>
      <c r="C81" s="141"/>
      <c r="D81" s="141"/>
      <c r="E81" s="141"/>
      <c r="F81" s="141"/>
      <c r="G81" s="167"/>
      <c r="H81" s="167"/>
      <c r="I81" s="167"/>
      <c r="J81" s="141"/>
      <c r="K81" s="109"/>
    </row>
    <row r="82" spans="1:11" ht="14.25" x14ac:dyDescent="0.2">
      <c r="A82" s="109"/>
      <c r="B82" s="109"/>
      <c r="C82" s="141" t="s">
        <v>228</v>
      </c>
      <c r="D82" s="141"/>
      <c r="E82" s="141"/>
      <c r="F82" s="141"/>
      <c r="G82" s="180">
        <f>ROUND('detector presencia'!C48/1000,0)*1000</f>
        <v>59000</v>
      </c>
      <c r="H82" s="167" t="s">
        <v>129</v>
      </c>
      <c r="I82" s="180" t="str">
        <f>IF(AND(I38="",A32="",A25=""),ROUND('detector presencia'!C49/1000,0)*1000,"Error !")</f>
        <v>Error !</v>
      </c>
      <c r="J82" s="141"/>
      <c r="K82" s="109"/>
    </row>
    <row r="83" spans="1:11" ht="14.25" x14ac:dyDescent="0.2">
      <c r="A83" s="109"/>
      <c r="B83" s="109"/>
      <c r="C83" s="141"/>
      <c r="D83" s="141"/>
      <c r="E83" s="141"/>
      <c r="F83" s="141"/>
      <c r="G83" s="168"/>
      <c r="H83" s="167"/>
      <c r="I83" s="179" t="str">
        <f>IF(I82&lt;G82,"La vida útil de las lámparas disminuye debido a que se incrementa la cantidad de encendidos y apagados","")</f>
        <v/>
      </c>
      <c r="J83" s="141"/>
      <c r="K83" s="109"/>
    </row>
    <row r="84" spans="1:11" ht="3.75" customHeight="1" x14ac:dyDescent="0.2">
      <c r="A84" s="109"/>
      <c r="B84" s="109"/>
      <c r="C84" s="141"/>
      <c r="D84" s="141"/>
      <c r="E84" s="141"/>
      <c r="F84" s="141"/>
      <c r="G84" s="167"/>
      <c r="H84" s="167"/>
      <c r="I84" s="167"/>
      <c r="J84" s="141"/>
      <c r="K84" s="109"/>
    </row>
    <row r="85" spans="1:11" ht="14.25" x14ac:dyDescent="0.2">
      <c r="A85" s="109"/>
      <c r="B85" s="109"/>
      <c r="C85" s="141" t="s">
        <v>229</v>
      </c>
      <c r="D85" s="141"/>
      <c r="E85" s="141"/>
      <c r="F85" s="141"/>
      <c r="G85" s="168">
        <f>((G50*G48+G56*G48)*G80/G82)</f>
        <v>520.67796610169489</v>
      </c>
      <c r="H85" s="167" t="s">
        <v>225</v>
      </c>
      <c r="I85" s="168" t="str">
        <f>IF(AND(I38="",A32="",A25=""),(G50*G48+G56*G48)*I80/I82,"Error !")</f>
        <v>Error !</v>
      </c>
      <c r="J85" s="141"/>
      <c r="K85" s="109"/>
    </row>
    <row r="86" spans="1:11" ht="3.75" customHeight="1" x14ac:dyDescent="0.2">
      <c r="A86" s="109"/>
      <c r="B86" s="109"/>
      <c r="C86" s="141"/>
      <c r="D86" s="141"/>
      <c r="E86" s="141"/>
      <c r="F86" s="141"/>
      <c r="G86" s="167"/>
      <c r="H86" s="167"/>
      <c r="I86" s="167"/>
      <c r="J86" s="141"/>
      <c r="K86" s="109"/>
    </row>
    <row r="87" spans="1:11" ht="14.25" x14ac:dyDescent="0.2">
      <c r="A87" s="109"/>
      <c r="B87" s="109"/>
      <c r="C87" s="141" t="s">
        <v>230</v>
      </c>
      <c r="D87" s="141"/>
      <c r="E87" s="141"/>
      <c r="F87" s="141"/>
      <c r="G87" s="168">
        <f>IF('detector presencia'!C11&lt;4,'4. MAE Detector presencia'!G46*'4. MAE Detector presencia'!G48*'4. MAE Detector presencia'!G80/1000,IF('detector presencia'!D23&lt;3,'4. MAE Detector presencia'!G46*'4. MAE Detector presencia'!G48*1.2*'4. MAE Detector presencia'!G80/1000,'4. MAE Detector presencia'!G48*'4. MAE Detector presencia'!G46*'4. MAE Detector presencia'!G80/1000))</f>
        <v>3072</v>
      </c>
      <c r="H87" s="167" t="s">
        <v>226</v>
      </c>
      <c r="I87" s="168" t="str">
        <f>IF(AND(I38="",A32="",A25=""),IF('detector presencia'!C11&lt;4,'4. MAE Detector presencia'!G46*'4. MAE Detector presencia'!G48*'4. MAE Detector presencia'!I80/1000,IF('detector presencia'!D23&lt;3,'4. MAE Detector presencia'!G46*'4. MAE Detector presencia'!G48*1.2*'4. MAE Detector presencia'!I80/1000,'4. MAE Detector presencia'!G48*'4. MAE Detector presencia'!G46*'4. MAE Detector presencia'!I80/1000)),"Error !")</f>
        <v>Error !</v>
      </c>
      <c r="J87" s="141"/>
      <c r="K87" s="109"/>
    </row>
    <row r="88" spans="1:11" ht="5.25" customHeight="1" x14ac:dyDescent="0.2">
      <c r="A88" s="109"/>
      <c r="B88" s="109"/>
      <c r="C88" s="141"/>
      <c r="D88" s="141"/>
      <c r="E88" s="141"/>
      <c r="F88" s="141"/>
      <c r="G88" s="167"/>
      <c r="H88" s="167"/>
      <c r="I88" s="167"/>
      <c r="J88" s="141"/>
      <c r="K88" s="109"/>
    </row>
    <row r="89" spans="1:11" ht="14.25" x14ac:dyDescent="0.2">
      <c r="A89" s="109"/>
      <c r="B89" s="109"/>
      <c r="C89" s="141" t="s">
        <v>231</v>
      </c>
      <c r="D89" s="141"/>
      <c r="E89" s="141"/>
      <c r="F89" s="141"/>
      <c r="G89" s="173">
        <f>IF((G11+G9)=0,0,G87*G9/(G9+G11)*G70+G87*G11/(G9+G11)*G72+G85)</f>
        <v>6664.6779661016953</v>
      </c>
      <c r="H89" s="167" t="s">
        <v>225</v>
      </c>
      <c r="I89" s="173" t="str">
        <f>IF((G11+G9)=0,0,IF(AND(I38="",A32="",A25=""),IF(G17&lt;=15,(I87/'detector presencia'!J6*('detector presencia'!J3+'detector presencia'!J4)*G70+I87/'detector presencia'!J6*'detector presencia'!J5/(15-G17+9)*(15-G17)*G70+I87/'detector presencia'!J6*'detector presencia'!J5/(15-G17+9)*9*G72)+I85,(I87/'detector presencia'!J6*('detector presencia'!J3+'detector presencia'!J4)/G17*15*G70+I87/'detector presencia'!J6*('detector presencia'!J3+'detector presencia'!J4)/G17*(G17-15)*G72+I87/'detector presencia'!J6*'detector presencia'!J5*G70)+I85),"Error !"))</f>
        <v>Error !</v>
      </c>
      <c r="J89" s="141"/>
      <c r="K89" s="109"/>
    </row>
    <row r="90" spans="1:11" ht="3.75" customHeight="1" x14ac:dyDescent="0.2">
      <c r="A90" s="109"/>
      <c r="B90" s="109"/>
      <c r="C90" s="141"/>
      <c r="D90" s="141"/>
      <c r="E90" s="141"/>
      <c r="F90" s="141"/>
      <c r="G90" s="168"/>
      <c r="H90" s="167"/>
      <c r="I90" s="168"/>
      <c r="J90" s="141"/>
      <c r="K90" s="109"/>
    </row>
    <row r="91" spans="1:11" ht="14.25" customHeight="1" x14ac:dyDescent="0.25">
      <c r="A91" s="109"/>
      <c r="B91" s="109"/>
      <c r="C91" s="143" t="s">
        <v>232</v>
      </c>
      <c r="D91" s="143"/>
      <c r="E91" s="143"/>
      <c r="F91" s="172">
        <f>IF(G87=0,"",G91/G87)</f>
        <v>0</v>
      </c>
      <c r="G91" s="170">
        <f>IF(I87="Error !",0,G87-I87)</f>
        <v>0</v>
      </c>
      <c r="H91" s="171" t="s">
        <v>226</v>
      </c>
      <c r="I91" s="168"/>
      <c r="J91" s="141"/>
      <c r="K91" s="109"/>
    </row>
    <row r="92" spans="1:11" ht="5.25" customHeight="1" x14ac:dyDescent="0.2">
      <c r="A92" s="109"/>
      <c r="B92" s="109"/>
      <c r="C92" s="141"/>
      <c r="D92" s="141"/>
      <c r="E92" s="141"/>
      <c r="F92" s="141"/>
      <c r="G92" s="167"/>
      <c r="H92" s="167"/>
      <c r="I92" s="167"/>
      <c r="J92" s="141"/>
      <c r="K92" s="109"/>
    </row>
    <row r="93" spans="1:11" ht="15" x14ac:dyDescent="0.25">
      <c r="A93" s="109"/>
      <c r="B93" s="109"/>
      <c r="C93" s="143" t="s">
        <v>233</v>
      </c>
      <c r="D93" s="141"/>
      <c r="E93" s="141"/>
      <c r="F93" s="141"/>
      <c r="G93" s="174" t="str">
        <f>IF(AND(I38="",A32="",A25=""),G89-I89,"Error !")</f>
        <v>Error !</v>
      </c>
      <c r="H93" s="171" t="s">
        <v>225</v>
      </c>
      <c r="I93" s="141"/>
      <c r="J93" s="141"/>
      <c r="K93" s="109"/>
    </row>
    <row r="94" spans="1:11" ht="3.75" customHeight="1" x14ac:dyDescent="0.2">
      <c r="A94" s="109"/>
      <c r="B94" s="109"/>
      <c r="C94" s="141"/>
      <c r="D94" s="141"/>
      <c r="E94" s="141"/>
      <c r="F94" s="141"/>
      <c r="G94" s="167"/>
      <c r="H94" s="167"/>
      <c r="I94" s="167"/>
      <c r="J94" s="141"/>
      <c r="K94" s="109"/>
    </row>
    <row r="95" spans="1:11" ht="15" x14ac:dyDescent="0.25">
      <c r="A95" s="109"/>
      <c r="B95" s="109"/>
      <c r="C95" s="141" t="str">
        <f>IF(G89&gt;I89,"Tiempo de retorno simple de inversión","")</f>
        <v/>
      </c>
      <c r="D95" s="141"/>
      <c r="E95" s="141"/>
      <c r="F95" s="141"/>
      <c r="G95" s="178" t="str">
        <f>IF(AND(I38="",A32="",A25=""),IF(G93&gt;0,G62*G64/G93,""),"Error !")</f>
        <v>Error !</v>
      </c>
      <c r="H95" s="167" t="str">
        <f>IF(G89&gt;I89,"años","")</f>
        <v/>
      </c>
      <c r="I95" s="141"/>
      <c r="J95" s="141"/>
      <c r="K95" s="109"/>
    </row>
    <row r="96" spans="1:11" ht="14.25" x14ac:dyDescent="0.2">
      <c r="A96" s="109"/>
      <c r="B96" s="109"/>
      <c r="C96" s="141"/>
      <c r="D96" s="141"/>
      <c r="E96" s="141"/>
      <c r="F96" s="141"/>
      <c r="G96" s="141"/>
      <c r="H96" s="141"/>
      <c r="I96" s="141"/>
      <c r="J96" s="141"/>
      <c r="K96" s="109"/>
    </row>
    <row r="97" spans="1:11" ht="17.25" customHeight="1" x14ac:dyDescent="0.25">
      <c r="A97" s="109"/>
      <c r="B97" s="109"/>
      <c r="C97" s="143" t="s">
        <v>234</v>
      </c>
      <c r="D97" s="116"/>
      <c r="E97" s="116"/>
      <c r="F97" s="109"/>
      <c r="G97" s="170">
        <f>G91*G98</f>
        <v>0</v>
      </c>
      <c r="H97" s="370" t="s">
        <v>237</v>
      </c>
      <c r="I97" s="370"/>
      <c r="J97" s="109"/>
      <c r="K97" s="109"/>
    </row>
    <row r="98" spans="1:11" ht="21.75" customHeight="1" x14ac:dyDescent="0.2">
      <c r="A98" s="108"/>
      <c r="B98" s="108"/>
      <c r="C98" s="349" t="s">
        <v>235</v>
      </c>
      <c r="D98" s="349"/>
      <c r="E98" s="349"/>
      <c r="F98" s="349"/>
      <c r="G98" s="177">
        <v>0.499</v>
      </c>
      <c r="H98" s="349" t="s">
        <v>236</v>
      </c>
      <c r="I98" s="349"/>
      <c r="J98" s="108"/>
      <c r="K98" s="108"/>
    </row>
    <row r="99" spans="1:11" x14ac:dyDescent="0.2">
      <c r="A99" s="108"/>
      <c r="B99" s="108"/>
      <c r="C99" s="356" t="s">
        <v>346</v>
      </c>
      <c r="D99" s="356"/>
      <c r="E99" s="356"/>
      <c r="F99" s="356"/>
      <c r="G99" s="113"/>
      <c r="H99" s="108"/>
      <c r="I99" s="108"/>
      <c r="J99" s="108"/>
      <c r="K99" s="108"/>
    </row>
  </sheetData>
  <mergeCells count="13">
    <mergeCell ref="A7:K7"/>
    <mergeCell ref="A2:K2"/>
    <mergeCell ref="A15:K15"/>
    <mergeCell ref="A40:K40"/>
    <mergeCell ref="A60:K60"/>
    <mergeCell ref="C99:F99"/>
    <mergeCell ref="A25:I25"/>
    <mergeCell ref="A32:I32"/>
    <mergeCell ref="D74:J74"/>
    <mergeCell ref="A76:K76"/>
    <mergeCell ref="C98:F98"/>
    <mergeCell ref="H98:I98"/>
    <mergeCell ref="H97:I97"/>
  </mergeCells>
  <pageMargins left="0.78740157499999996" right="0.78740157499999996" top="1.6412500000000001" bottom="0.984251969" header="0.4921259845" footer="0.4921259845"/>
  <pageSetup scale="89" fitToHeight="0" orientation="portrait" r:id="rId1"/>
  <headerFooter alignWithMargins="0">
    <oddHeader>&amp;C&amp;G&amp;R&amp;"Arial,Negrita Cursiva"ILUMINACIÓN</oddHeader>
  </headerFooter>
  <rowBreaks count="1" manualBreakCount="1">
    <brk id="59" max="10" man="1"/>
  </rowBreaks>
  <ignoredErrors>
    <ignoredError sqref="G51" unlockedFormula="1"/>
    <ignoredError sqref="G52:G53" evalError="1" unlockedFormula="1"/>
  </ignoredError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7171" r:id="rId5" name="Drop Down 3">
              <controlPr locked="0" defaultSize="0" autoFill="0" autoLine="0" autoPict="0">
                <anchor moveWithCells="1">
                  <from>
                    <xdr:col>5</xdr:col>
                    <xdr:colOff>552450</xdr:colOff>
                    <xdr:row>41</xdr:row>
                    <xdr:rowOff>19050</xdr:rowOff>
                  </from>
                  <to>
                    <xdr:col>7</xdr:col>
                    <xdr:colOff>457200</xdr:colOff>
                    <xdr:row>42</xdr:row>
                    <xdr:rowOff>28575</xdr:rowOff>
                  </to>
                </anchor>
              </controlPr>
            </control>
          </mc:Choice>
        </mc:AlternateContent>
        <mc:AlternateContent xmlns:mc="http://schemas.openxmlformats.org/markup-compatibility/2006">
          <mc:Choice Requires="x14">
            <control shapeId="7172" r:id="rId6" name="Drop Down 4">
              <controlPr locked="0" defaultSize="0" autoFill="0" autoLine="0" autoPict="0">
                <anchor moveWithCells="1">
                  <from>
                    <xdr:col>5</xdr:col>
                    <xdr:colOff>552450</xdr:colOff>
                    <xdr:row>43</xdr:row>
                    <xdr:rowOff>28575</xdr:rowOff>
                  </from>
                  <to>
                    <xdr:col>7</xdr:col>
                    <xdr:colOff>457200</xdr:colOff>
                    <xdr:row>44</xdr:row>
                    <xdr:rowOff>38100</xdr:rowOff>
                  </to>
                </anchor>
              </controlPr>
            </control>
          </mc:Choice>
        </mc:AlternateContent>
        <mc:AlternateContent xmlns:mc="http://schemas.openxmlformats.org/markup-compatibility/2006">
          <mc:Choice Requires="x14">
            <control shapeId="7173" r:id="rId7" name="Drop Down 5">
              <controlPr locked="0" defaultSize="0" autoFill="0" autoLine="0" autoPict="0">
                <anchor moveWithCells="1">
                  <from>
                    <xdr:col>7</xdr:col>
                    <xdr:colOff>142875</xdr:colOff>
                    <xdr:row>28</xdr:row>
                    <xdr:rowOff>0</xdr:rowOff>
                  </from>
                  <to>
                    <xdr:col>8</xdr:col>
                    <xdr:colOff>133350</xdr:colOff>
                    <xdr:row>29</xdr:row>
                    <xdr:rowOff>28575</xdr:rowOff>
                  </to>
                </anchor>
              </controlPr>
            </control>
          </mc:Choice>
        </mc:AlternateContent>
        <mc:AlternateContent xmlns:mc="http://schemas.openxmlformats.org/markup-compatibility/2006">
          <mc:Choice Requires="x14">
            <control shapeId="7174" r:id="rId8" name="Drop Down 6">
              <controlPr locked="0" defaultSize="0" autoFill="0" autoLine="0" autoPict="0">
                <anchor moveWithCells="1">
                  <from>
                    <xdr:col>7</xdr:col>
                    <xdr:colOff>152400</xdr:colOff>
                    <xdr:row>29</xdr:row>
                    <xdr:rowOff>47625</xdr:rowOff>
                  </from>
                  <to>
                    <xdr:col>8</xdr:col>
                    <xdr:colOff>142875</xdr:colOff>
                    <xdr:row>31</xdr:row>
                    <xdr:rowOff>19050</xdr:rowOff>
                  </to>
                </anchor>
              </controlPr>
            </control>
          </mc:Choice>
        </mc:AlternateContent>
        <mc:AlternateContent xmlns:mc="http://schemas.openxmlformats.org/markup-compatibility/2006">
          <mc:Choice Requires="x14">
            <control shapeId="7175" r:id="rId9" name="Drop Down 7">
              <controlPr locked="0" defaultSize="0" autoFill="0" autoLine="0" autoPict="0">
                <anchor moveWithCells="1">
                  <from>
                    <xdr:col>7</xdr:col>
                    <xdr:colOff>142875</xdr:colOff>
                    <xdr:row>34</xdr:row>
                    <xdr:rowOff>0</xdr:rowOff>
                  </from>
                  <to>
                    <xdr:col>8</xdr:col>
                    <xdr:colOff>133350</xdr:colOff>
                    <xdr:row>35</xdr:row>
                    <xdr:rowOff>28575</xdr:rowOff>
                  </to>
                </anchor>
              </controlPr>
            </control>
          </mc:Choice>
        </mc:AlternateContent>
        <mc:AlternateContent xmlns:mc="http://schemas.openxmlformats.org/markup-compatibility/2006">
          <mc:Choice Requires="x14">
            <control shapeId="7176" r:id="rId10" name="Drop Down 8">
              <controlPr locked="0" defaultSize="0" autoFill="0" autoLine="0" autoPict="0">
                <anchor moveWithCells="1">
                  <from>
                    <xdr:col>7</xdr:col>
                    <xdr:colOff>152400</xdr:colOff>
                    <xdr:row>35</xdr:row>
                    <xdr:rowOff>47625</xdr:rowOff>
                  </from>
                  <to>
                    <xdr:col>8</xdr:col>
                    <xdr:colOff>142875</xdr:colOff>
                    <xdr:row>37</xdr:row>
                    <xdr:rowOff>9525</xdr:rowOff>
                  </to>
                </anchor>
              </controlPr>
            </control>
          </mc:Choice>
        </mc:AlternateContent>
        <mc:AlternateContent xmlns:mc="http://schemas.openxmlformats.org/markup-compatibility/2006">
          <mc:Choice Requires="x14">
            <control shapeId="7169" r:id="rId11" name="Drop Down 1">
              <controlPr locked="0" defaultSize="0" autoFill="0" autoLine="0" autoPict="0">
                <anchor moveWithCells="1">
                  <from>
                    <xdr:col>7</xdr:col>
                    <xdr:colOff>142875</xdr:colOff>
                    <xdr:row>21</xdr:row>
                    <xdr:rowOff>0</xdr:rowOff>
                  </from>
                  <to>
                    <xdr:col>8</xdr:col>
                    <xdr:colOff>133350</xdr:colOff>
                    <xdr:row>22</xdr:row>
                    <xdr:rowOff>0</xdr:rowOff>
                  </to>
                </anchor>
              </controlPr>
            </control>
          </mc:Choice>
        </mc:AlternateContent>
        <mc:AlternateContent xmlns:mc="http://schemas.openxmlformats.org/markup-compatibility/2006">
          <mc:Choice Requires="x14">
            <control shapeId="7170" r:id="rId12" name="Drop Down 2">
              <controlPr locked="0" defaultSize="0" autoFill="0" autoLine="0" autoPict="0">
                <anchor moveWithCells="1">
                  <from>
                    <xdr:col>7</xdr:col>
                    <xdr:colOff>142875</xdr:colOff>
                    <xdr:row>22</xdr:row>
                    <xdr:rowOff>57150</xdr:rowOff>
                  </from>
                  <to>
                    <xdr:col>8</xdr:col>
                    <xdr:colOff>133350</xdr:colOff>
                    <xdr:row>23</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N69"/>
  <sheetViews>
    <sheetView workbookViewId="0">
      <selection activeCell="H4" sqref="H4"/>
    </sheetView>
  </sheetViews>
  <sheetFormatPr baseColWidth="10" defaultRowHeight="12.75" x14ac:dyDescent="0.2"/>
  <cols>
    <col min="1" max="16384" width="11.42578125" style="68"/>
  </cols>
  <sheetData>
    <row r="1" spans="1:11" x14ac:dyDescent="0.2">
      <c r="A1" s="68" t="s">
        <v>149</v>
      </c>
    </row>
    <row r="2" spans="1:11" x14ac:dyDescent="0.2">
      <c r="F2" s="68" t="s">
        <v>154</v>
      </c>
      <c r="H2" s="68" t="s">
        <v>158</v>
      </c>
      <c r="I2" s="68" t="s">
        <v>159</v>
      </c>
      <c r="J2" s="68" t="s">
        <v>160</v>
      </c>
    </row>
    <row r="3" spans="1:11" x14ac:dyDescent="0.2">
      <c r="A3" s="68" t="s">
        <v>150</v>
      </c>
      <c r="C3" s="68" t="s">
        <v>152</v>
      </c>
      <c r="F3" s="68" t="s">
        <v>157</v>
      </c>
      <c r="H3" s="68">
        <f>IF(C4=1,'4. MAE Detector presencia'!G22/60,'4. MAE Detector presencia'!G22)</f>
        <v>10</v>
      </c>
      <c r="I3" s="68">
        <f>IF(C5=1,'4. MAE Detector presencia'!G24/60,'4. MAE Detector presencia'!G24)</f>
        <v>2</v>
      </c>
      <c r="J3" s="103">
        <f>IF(I3=0,0,IF('detector presencia'!I3&lt;='4. MAE Detector presencia'!G22,'4. MAE Detector presencia'!G17/'detector presencia'!I3*('detector presencia'!H3+'4. MAE Detector presencia'!G66/60),'detector presencia'!H3+'4. MAE Detector presencia'!G66/60))</f>
        <v>60.5</v>
      </c>
      <c r="K3" s="68" t="s">
        <v>161</v>
      </c>
    </row>
    <row r="4" spans="1:11" x14ac:dyDescent="0.2">
      <c r="A4" s="68" t="s">
        <v>151</v>
      </c>
      <c r="C4" s="68">
        <v>2</v>
      </c>
      <c r="D4" s="68">
        <v>1</v>
      </c>
      <c r="E4" s="68">
        <v>1</v>
      </c>
      <c r="F4" s="68" t="s">
        <v>155</v>
      </c>
      <c r="H4" s="68">
        <f>IF(D4=1,'4. MAE Detector presencia'!G29/60,'4. MAE Detector presencia'!G29)</f>
        <v>0</v>
      </c>
      <c r="I4" s="68">
        <f>IF(D5=1,'4. MAE Detector presencia'!G31/60,'4. MAE Detector presencia'!G31)</f>
        <v>0</v>
      </c>
      <c r="J4" s="103">
        <f>IF(I4=0,0,IF('detector presencia'!I4&lt;=('detector presencia'!I3-'detector presencia'!H3),('detector presencia'!I3-'detector presencia'!H3)/'detector presencia'!I4*('detector presencia'!H4+'4. MAE Detector presencia'!G66/60)*'4. MAE Detector presencia'!G17/'detector presencia'!I3,('detector presencia'!H4+'4. MAE Detector presencia'!G66/60)*'4. MAE Detector presencia'!G17/'detector presencia'!I3))</f>
        <v>0</v>
      </c>
      <c r="K4" s="68" t="s">
        <v>161</v>
      </c>
    </row>
    <row r="5" spans="1:11" x14ac:dyDescent="0.2">
      <c r="C5" s="68">
        <v>2</v>
      </c>
      <c r="D5" s="68">
        <v>2</v>
      </c>
      <c r="E5" s="68">
        <v>2</v>
      </c>
      <c r="F5" s="68" t="s">
        <v>156</v>
      </c>
      <c r="H5" s="68">
        <f>IF(E4=1,'4. MAE Detector presencia'!G35/60,'4. MAE Detector presencia'!G35)</f>
        <v>0</v>
      </c>
      <c r="I5" s="68">
        <f>IF(E5=1,'4. MAE Detector presencia'!G37/60,'4. MAE Detector presencia'!G37)</f>
        <v>0</v>
      </c>
      <c r="J5" s="68">
        <f>IF(I5=0,0,IF('detector presencia'!I5&lt;=24-'4. MAE Detector presencia'!G17,(24-'4. MAE Detector presencia'!G17)/I5*(H5+'4. MAE Detector presencia'!G66/60),H5+'4. MAE Detector presencia'!G66/60))</f>
        <v>0</v>
      </c>
      <c r="K5" s="68" t="s">
        <v>161</v>
      </c>
    </row>
    <row r="6" spans="1:11" x14ac:dyDescent="0.2">
      <c r="J6" s="103">
        <f>SUM(J3:J5)</f>
        <v>60.5</v>
      </c>
      <c r="K6" s="68" t="s">
        <v>161</v>
      </c>
    </row>
    <row r="8" spans="1:11" x14ac:dyDescent="0.2">
      <c r="A8" s="68" t="s">
        <v>46</v>
      </c>
    </row>
    <row r="10" spans="1:11" x14ac:dyDescent="0.2">
      <c r="A10" s="68" t="s">
        <v>130</v>
      </c>
      <c r="C10" s="68" t="s">
        <v>152</v>
      </c>
      <c r="D10" s="68" t="s">
        <v>166</v>
      </c>
    </row>
    <row r="11" spans="1:11" x14ac:dyDescent="0.2">
      <c r="A11" s="68" t="s">
        <v>174</v>
      </c>
      <c r="C11" s="68">
        <v>4</v>
      </c>
      <c r="D11" s="68" t="str">
        <f>INDEX(A10:A17,C11,1)</f>
        <v>Tubos fluorescentes de larga duración</v>
      </c>
    </row>
    <row r="12" spans="1:11" x14ac:dyDescent="0.2">
      <c r="A12" s="68" t="s">
        <v>175</v>
      </c>
    </row>
    <row r="13" spans="1:11" x14ac:dyDescent="0.2">
      <c r="A13" s="68" t="s">
        <v>162</v>
      </c>
    </row>
    <row r="14" spans="1:11" x14ac:dyDescent="0.2">
      <c r="A14" s="68" t="s">
        <v>163</v>
      </c>
    </row>
    <row r="15" spans="1:11" x14ac:dyDescent="0.2">
      <c r="A15" s="68" t="s">
        <v>164</v>
      </c>
    </row>
    <row r="16" spans="1:11" x14ac:dyDescent="0.2">
      <c r="A16" s="68" t="s">
        <v>165</v>
      </c>
    </row>
    <row r="17" spans="1:118" x14ac:dyDescent="0.2">
      <c r="A17" s="68" t="s">
        <v>132</v>
      </c>
    </row>
    <row r="20" spans="1:118" x14ac:dyDescent="0.2">
      <c r="A20" s="68" t="s">
        <v>49</v>
      </c>
    </row>
    <row r="22" spans="1:118" x14ac:dyDescent="0.2">
      <c r="A22" s="68" t="s">
        <v>167</v>
      </c>
      <c r="D22" s="68" t="s">
        <v>152</v>
      </c>
      <c r="E22" s="68" t="s">
        <v>131</v>
      </c>
    </row>
    <row r="23" spans="1:118" x14ac:dyDescent="0.2">
      <c r="A23" s="68" t="s">
        <v>168</v>
      </c>
      <c r="D23" s="68">
        <v>3</v>
      </c>
      <c r="E23" s="68" t="str">
        <f>INDEX(A22:A25,D23,1)</f>
        <v>Electrónicos sin precalentamiento</v>
      </c>
    </row>
    <row r="24" spans="1:118" x14ac:dyDescent="0.2">
      <c r="A24" s="68" t="s">
        <v>169</v>
      </c>
    </row>
    <row r="25" spans="1:118" x14ac:dyDescent="0.2">
      <c r="A25" s="68" t="s">
        <v>170</v>
      </c>
    </row>
    <row r="27" spans="1:118" x14ac:dyDescent="0.2">
      <c r="A27" s="68" t="s">
        <v>171</v>
      </c>
      <c r="F27" s="68" t="s">
        <v>173</v>
      </c>
    </row>
    <row r="28" spans="1:118" x14ac:dyDescent="0.2">
      <c r="C28" s="73" t="s">
        <v>172</v>
      </c>
      <c r="D28" s="73" t="s">
        <v>133</v>
      </c>
      <c r="E28" s="73" t="s">
        <v>134</v>
      </c>
      <c r="F28" s="73">
        <v>4</v>
      </c>
      <c r="G28" s="73">
        <v>5</v>
      </c>
      <c r="H28" s="73">
        <v>6</v>
      </c>
      <c r="I28" s="73">
        <v>7</v>
      </c>
      <c r="J28" s="73">
        <v>8</v>
      </c>
      <c r="K28" s="73">
        <v>9</v>
      </c>
      <c r="L28" s="73">
        <v>10</v>
      </c>
      <c r="M28" s="73">
        <v>11</v>
      </c>
      <c r="N28" s="73">
        <v>12</v>
      </c>
      <c r="O28" s="73">
        <v>13</v>
      </c>
      <c r="P28" s="73">
        <v>14</v>
      </c>
      <c r="Q28" s="73">
        <v>15</v>
      </c>
      <c r="R28" s="73">
        <v>16</v>
      </c>
      <c r="S28" s="73">
        <v>18</v>
      </c>
      <c r="T28" s="73">
        <v>20</v>
      </c>
      <c r="U28" s="73">
        <v>21</v>
      </c>
      <c r="V28" s="73">
        <v>22</v>
      </c>
      <c r="W28" s="73">
        <v>23</v>
      </c>
      <c r="X28" s="73">
        <v>24</v>
      </c>
      <c r="Y28" s="73">
        <v>25</v>
      </c>
      <c r="Z28" s="73">
        <v>26</v>
      </c>
      <c r="AA28" s="73">
        <v>28</v>
      </c>
      <c r="AB28" s="73">
        <v>30</v>
      </c>
      <c r="AC28" s="73">
        <v>32</v>
      </c>
      <c r="AD28" s="73">
        <v>35</v>
      </c>
      <c r="AE28" s="73">
        <v>36</v>
      </c>
      <c r="AF28" s="73">
        <v>37</v>
      </c>
      <c r="AG28" s="73">
        <v>38</v>
      </c>
      <c r="AH28" s="73">
        <v>39</v>
      </c>
      <c r="AI28" s="73">
        <v>40</v>
      </c>
      <c r="AJ28" s="73">
        <v>42</v>
      </c>
      <c r="AK28" s="73">
        <v>48</v>
      </c>
      <c r="AL28" s="73">
        <v>49</v>
      </c>
      <c r="AM28" s="73">
        <v>50</v>
      </c>
      <c r="AN28" s="73">
        <v>54</v>
      </c>
      <c r="AO28" s="73">
        <v>55</v>
      </c>
      <c r="AP28" s="73">
        <v>58</v>
      </c>
      <c r="AQ28" s="73">
        <v>60</v>
      </c>
      <c r="AR28" s="73">
        <v>65</v>
      </c>
      <c r="AS28" s="73">
        <v>70</v>
      </c>
      <c r="AT28" s="73">
        <v>75</v>
      </c>
      <c r="AU28" s="73">
        <v>80</v>
      </c>
      <c r="AV28" s="73">
        <v>100</v>
      </c>
      <c r="AW28" s="73">
        <v>115</v>
      </c>
      <c r="AX28" s="73">
        <v>120</v>
      </c>
      <c r="AY28" s="73">
        <v>125</v>
      </c>
      <c r="AZ28" s="73">
        <v>140</v>
      </c>
      <c r="BA28" s="73">
        <v>150</v>
      </c>
      <c r="BB28" s="73">
        <v>200</v>
      </c>
      <c r="BC28" s="73">
        <v>250</v>
      </c>
      <c r="BD28" s="73">
        <v>300</v>
      </c>
      <c r="BE28" s="73">
        <v>400</v>
      </c>
      <c r="BF28" s="73">
        <v>500</v>
      </c>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row>
    <row r="29" spans="1:118" x14ac:dyDescent="0.2">
      <c r="A29" s="68" t="s">
        <v>130</v>
      </c>
      <c r="C29" s="73"/>
      <c r="D29" s="104"/>
      <c r="E29" s="104"/>
      <c r="F29" s="73" t="s">
        <v>135</v>
      </c>
      <c r="G29" s="73" t="s">
        <v>135</v>
      </c>
      <c r="H29" s="73" t="s">
        <v>135</v>
      </c>
      <c r="I29" s="73" t="s">
        <v>135</v>
      </c>
      <c r="J29" s="73" t="s">
        <v>135</v>
      </c>
      <c r="K29" s="73" t="s">
        <v>135</v>
      </c>
      <c r="L29" s="73" t="s">
        <v>135</v>
      </c>
      <c r="M29" s="73" t="s">
        <v>135</v>
      </c>
      <c r="N29" s="73" t="s">
        <v>135</v>
      </c>
      <c r="O29" s="73" t="s">
        <v>135</v>
      </c>
      <c r="P29" s="73" t="s">
        <v>135</v>
      </c>
      <c r="Q29" s="73" t="s">
        <v>136</v>
      </c>
      <c r="R29" s="73" t="s">
        <v>135</v>
      </c>
      <c r="S29" s="73" t="s">
        <v>135</v>
      </c>
      <c r="T29" s="73" t="s">
        <v>136</v>
      </c>
      <c r="U29" s="73" t="s">
        <v>135</v>
      </c>
      <c r="V29" s="73" t="s">
        <v>135</v>
      </c>
      <c r="W29" s="73" t="s">
        <v>135</v>
      </c>
      <c r="X29" s="73" t="s">
        <v>135</v>
      </c>
      <c r="Y29" s="73" t="s">
        <v>136</v>
      </c>
      <c r="Z29" s="73" t="s">
        <v>135</v>
      </c>
      <c r="AA29" s="73" t="s">
        <v>135</v>
      </c>
      <c r="AB29" s="73" t="s">
        <v>136</v>
      </c>
      <c r="AC29" s="73" t="s">
        <v>135</v>
      </c>
      <c r="AD29" s="73" t="s">
        <v>135</v>
      </c>
      <c r="AE29" s="73" t="s">
        <v>135</v>
      </c>
      <c r="AF29" s="73" t="s">
        <v>135</v>
      </c>
      <c r="AG29" s="73" t="s">
        <v>135</v>
      </c>
      <c r="AH29" s="73" t="s">
        <v>135</v>
      </c>
      <c r="AI29" s="73">
        <v>1.18</v>
      </c>
      <c r="AJ29" s="73" t="s">
        <v>135</v>
      </c>
      <c r="AK29" s="102" t="s">
        <v>135</v>
      </c>
      <c r="AL29" s="73" t="s">
        <v>135</v>
      </c>
      <c r="AM29" s="73" t="s">
        <v>135</v>
      </c>
      <c r="AN29" s="73" t="s">
        <v>135</v>
      </c>
      <c r="AO29" s="73" t="s">
        <v>135</v>
      </c>
      <c r="AP29" s="73" t="s">
        <v>135</v>
      </c>
      <c r="AQ29" s="73">
        <v>1.32</v>
      </c>
      <c r="AR29" s="73" t="s">
        <v>135</v>
      </c>
      <c r="AS29" s="73" t="s">
        <v>135</v>
      </c>
      <c r="AT29" s="73">
        <v>1.68</v>
      </c>
      <c r="AU29" s="73" t="s">
        <v>136</v>
      </c>
      <c r="AV29" s="73">
        <v>1.68</v>
      </c>
      <c r="AW29" s="73" t="s">
        <v>135</v>
      </c>
      <c r="AX29" s="73" t="s">
        <v>136</v>
      </c>
      <c r="AY29" s="73" t="s">
        <v>135</v>
      </c>
      <c r="AZ29" s="73" t="s">
        <v>135</v>
      </c>
      <c r="BA29" s="73">
        <v>1.69</v>
      </c>
      <c r="BB29" s="73">
        <v>2.02</v>
      </c>
      <c r="BC29" s="73" t="s">
        <v>135</v>
      </c>
      <c r="BD29" s="73" t="s">
        <v>136</v>
      </c>
      <c r="BE29" s="73" t="s">
        <v>135</v>
      </c>
      <c r="BF29" s="73" t="s">
        <v>136</v>
      </c>
      <c r="BG29" s="73"/>
      <c r="BH29" s="73"/>
      <c r="BI29" s="73"/>
      <c r="BJ29" s="73"/>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c r="DJ29" s="73"/>
      <c r="DK29" s="73"/>
      <c r="DL29" s="73"/>
      <c r="DM29" s="73"/>
      <c r="DN29" s="73"/>
    </row>
    <row r="30" spans="1:118" x14ac:dyDescent="0.2">
      <c r="A30" s="68" t="s">
        <v>174</v>
      </c>
      <c r="C30" s="104">
        <v>3.86</v>
      </c>
      <c r="D30" s="104"/>
      <c r="E30" s="104"/>
      <c r="F30" s="73" t="s">
        <v>135</v>
      </c>
      <c r="G30" s="73" t="s">
        <v>135</v>
      </c>
      <c r="H30" s="73" t="s">
        <v>135</v>
      </c>
      <c r="I30" s="73" t="s">
        <v>135</v>
      </c>
      <c r="J30" s="73" t="s">
        <v>135</v>
      </c>
      <c r="K30" s="73" t="s">
        <v>135</v>
      </c>
      <c r="L30" s="73" t="s">
        <v>135</v>
      </c>
      <c r="M30" s="73" t="s">
        <v>135</v>
      </c>
      <c r="N30" s="73" t="s">
        <v>135</v>
      </c>
      <c r="O30" s="73" t="s">
        <v>135</v>
      </c>
      <c r="P30" s="73" t="s">
        <v>135</v>
      </c>
      <c r="Q30" s="73" t="s">
        <v>135</v>
      </c>
      <c r="R30" s="73" t="s">
        <v>135</v>
      </c>
      <c r="S30" s="73" t="s">
        <v>135</v>
      </c>
      <c r="T30" s="73" t="s">
        <v>135</v>
      </c>
      <c r="U30" s="73" t="s">
        <v>135</v>
      </c>
      <c r="V30" s="73" t="s">
        <v>135</v>
      </c>
      <c r="W30" s="73" t="s">
        <v>135</v>
      </c>
      <c r="X30" s="73" t="s">
        <v>135</v>
      </c>
      <c r="Y30" s="73" t="s">
        <v>135</v>
      </c>
      <c r="Z30" s="73" t="s">
        <v>135</v>
      </c>
      <c r="AA30" s="73" t="s">
        <v>135</v>
      </c>
      <c r="AB30" s="73" t="s">
        <v>135</v>
      </c>
      <c r="AC30" s="73" t="s">
        <v>135</v>
      </c>
      <c r="AD30" s="73" t="s">
        <v>135</v>
      </c>
      <c r="AE30" s="73" t="s">
        <v>135</v>
      </c>
      <c r="AF30" s="73" t="s">
        <v>135</v>
      </c>
      <c r="AG30" s="73" t="s">
        <v>135</v>
      </c>
      <c r="AH30" s="73" t="s">
        <v>135</v>
      </c>
      <c r="AI30" s="73" t="s">
        <v>135</v>
      </c>
      <c r="AJ30" s="73" t="s">
        <v>135</v>
      </c>
      <c r="AK30" s="102" t="s">
        <v>135</v>
      </c>
      <c r="AL30" s="73" t="s">
        <v>135</v>
      </c>
      <c r="AM30" s="73" t="s">
        <v>135</v>
      </c>
      <c r="AN30" s="73" t="s">
        <v>135</v>
      </c>
      <c r="AO30" s="73" t="s">
        <v>135</v>
      </c>
      <c r="AP30" s="73" t="s">
        <v>135</v>
      </c>
      <c r="AQ30" s="73" t="s">
        <v>135</v>
      </c>
      <c r="AR30" s="73" t="s">
        <v>135</v>
      </c>
      <c r="AS30" s="73" t="s">
        <v>135</v>
      </c>
      <c r="AT30" s="73" t="s">
        <v>135</v>
      </c>
      <c r="AU30" s="73" t="s">
        <v>135</v>
      </c>
      <c r="AV30" s="73" t="s">
        <v>135</v>
      </c>
      <c r="AW30" s="73" t="s">
        <v>135</v>
      </c>
      <c r="AX30" s="73" t="s">
        <v>135</v>
      </c>
      <c r="AY30" s="73" t="s">
        <v>135</v>
      </c>
      <c r="AZ30" s="73" t="s">
        <v>135</v>
      </c>
      <c r="BA30" s="73" t="s">
        <v>135</v>
      </c>
      <c r="BB30" s="73" t="s">
        <v>135</v>
      </c>
      <c r="BC30" s="73" t="s">
        <v>135</v>
      </c>
      <c r="BD30" s="73" t="s">
        <v>135</v>
      </c>
      <c r="BE30" s="73" t="s">
        <v>135</v>
      </c>
      <c r="BF30" s="73" t="s">
        <v>135</v>
      </c>
      <c r="BG30" s="73"/>
      <c r="BH30" s="73"/>
      <c r="BI30" s="73"/>
      <c r="BJ30" s="73"/>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73"/>
      <c r="DJ30" s="73"/>
      <c r="DK30" s="73"/>
      <c r="DL30" s="73"/>
      <c r="DM30" s="73"/>
      <c r="DN30" s="73"/>
    </row>
    <row r="31" spans="1:118" x14ac:dyDescent="0.2">
      <c r="A31" s="68" t="s">
        <v>175</v>
      </c>
      <c r="C31" s="104">
        <v>5.95</v>
      </c>
      <c r="D31" s="104"/>
      <c r="E31" s="104"/>
      <c r="F31" s="73" t="s">
        <v>135</v>
      </c>
      <c r="G31" s="73" t="s">
        <v>135</v>
      </c>
      <c r="H31" s="73" t="s">
        <v>135</v>
      </c>
      <c r="I31" s="73" t="s">
        <v>135</v>
      </c>
      <c r="J31" s="73" t="s">
        <v>135</v>
      </c>
      <c r="K31" s="73" t="s">
        <v>135</v>
      </c>
      <c r="L31" s="73" t="s">
        <v>135</v>
      </c>
      <c r="M31" s="73" t="s">
        <v>135</v>
      </c>
      <c r="N31" s="73" t="s">
        <v>135</v>
      </c>
      <c r="O31" s="73" t="s">
        <v>135</v>
      </c>
      <c r="P31" s="73" t="s">
        <v>135</v>
      </c>
      <c r="Q31" s="73" t="s">
        <v>135</v>
      </c>
      <c r="R31" s="73" t="s">
        <v>135</v>
      </c>
      <c r="S31" s="73" t="s">
        <v>135</v>
      </c>
      <c r="T31" s="73" t="s">
        <v>135</v>
      </c>
      <c r="U31" s="73" t="s">
        <v>135</v>
      </c>
      <c r="V31" s="73" t="s">
        <v>135</v>
      </c>
      <c r="W31" s="73" t="s">
        <v>135</v>
      </c>
      <c r="X31" s="73" t="s">
        <v>135</v>
      </c>
      <c r="Y31" s="73" t="s">
        <v>135</v>
      </c>
      <c r="Z31" s="73" t="s">
        <v>135</v>
      </c>
      <c r="AA31" s="73" t="s">
        <v>135</v>
      </c>
      <c r="AB31" s="73" t="s">
        <v>135</v>
      </c>
      <c r="AC31" s="73" t="s">
        <v>135</v>
      </c>
      <c r="AD31" s="73" t="s">
        <v>135</v>
      </c>
      <c r="AE31" s="73" t="s">
        <v>135</v>
      </c>
      <c r="AF31" s="73" t="s">
        <v>135</v>
      </c>
      <c r="AG31" s="73" t="s">
        <v>135</v>
      </c>
      <c r="AH31" s="73" t="s">
        <v>135</v>
      </c>
      <c r="AI31" s="73" t="s">
        <v>135</v>
      </c>
      <c r="AJ31" s="73" t="s">
        <v>135</v>
      </c>
      <c r="AK31" s="102" t="s">
        <v>135</v>
      </c>
      <c r="AL31" s="73" t="s">
        <v>135</v>
      </c>
      <c r="AM31" s="73" t="s">
        <v>135</v>
      </c>
      <c r="AN31" s="73" t="s">
        <v>135</v>
      </c>
      <c r="AO31" s="73" t="s">
        <v>135</v>
      </c>
      <c r="AP31" s="73" t="s">
        <v>135</v>
      </c>
      <c r="AQ31" s="73" t="s">
        <v>135</v>
      </c>
      <c r="AR31" s="73" t="s">
        <v>135</v>
      </c>
      <c r="AS31" s="73" t="s">
        <v>135</v>
      </c>
      <c r="AT31" s="73" t="s">
        <v>135</v>
      </c>
      <c r="AU31" s="73" t="s">
        <v>135</v>
      </c>
      <c r="AV31" s="73" t="s">
        <v>135</v>
      </c>
      <c r="AW31" s="73" t="s">
        <v>135</v>
      </c>
      <c r="AX31" s="73" t="s">
        <v>135</v>
      </c>
      <c r="AY31" s="73" t="s">
        <v>135</v>
      </c>
      <c r="AZ31" s="73" t="s">
        <v>135</v>
      </c>
      <c r="BA31" s="73" t="s">
        <v>135</v>
      </c>
      <c r="BB31" s="73" t="s">
        <v>135</v>
      </c>
      <c r="BC31" s="73" t="s">
        <v>135</v>
      </c>
      <c r="BD31" s="73" t="s">
        <v>135</v>
      </c>
      <c r="BE31" s="73" t="s">
        <v>135</v>
      </c>
      <c r="BF31" s="73" t="s">
        <v>135</v>
      </c>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c r="DJ31" s="73"/>
      <c r="DK31" s="73"/>
      <c r="DL31" s="73"/>
      <c r="DM31" s="73"/>
      <c r="DN31" s="73"/>
    </row>
    <row r="32" spans="1:118" x14ac:dyDescent="0.2">
      <c r="A32" s="68" t="s">
        <v>162</v>
      </c>
      <c r="C32" s="105"/>
      <c r="D32" s="104"/>
      <c r="E32" s="104"/>
      <c r="F32" s="105" t="s">
        <v>136</v>
      </c>
      <c r="G32" s="73" t="s">
        <v>135</v>
      </c>
      <c r="H32" s="73" t="s">
        <v>136</v>
      </c>
      <c r="I32" s="73" t="s">
        <v>135</v>
      </c>
      <c r="J32" s="73" t="s">
        <v>136</v>
      </c>
      <c r="K32" s="73" t="s">
        <v>135</v>
      </c>
      <c r="L32" s="73" t="s">
        <v>135</v>
      </c>
      <c r="M32" s="73" t="s">
        <v>135</v>
      </c>
      <c r="N32" s="73" t="s">
        <v>135</v>
      </c>
      <c r="O32" s="73" t="s">
        <v>136</v>
      </c>
      <c r="P32" s="73" t="s">
        <v>136</v>
      </c>
      <c r="Q32" s="73" t="s">
        <v>136</v>
      </c>
      <c r="R32" s="73" t="s">
        <v>135</v>
      </c>
      <c r="S32" s="73">
        <v>20.2</v>
      </c>
      <c r="T32" s="73" t="s">
        <v>136</v>
      </c>
      <c r="U32" s="73" t="s">
        <v>135</v>
      </c>
      <c r="V32" s="73" t="s">
        <v>136</v>
      </c>
      <c r="W32" s="73" t="s">
        <v>136</v>
      </c>
      <c r="X32" s="73" t="s">
        <v>135</v>
      </c>
      <c r="Y32" s="73" t="s">
        <v>135</v>
      </c>
      <c r="Z32" s="73" t="s">
        <v>135</v>
      </c>
      <c r="AA32" s="73" t="s">
        <v>135</v>
      </c>
      <c r="AB32" s="73" t="s">
        <v>136</v>
      </c>
      <c r="AC32" s="73" t="s">
        <v>136</v>
      </c>
      <c r="AD32" s="73"/>
      <c r="AE32" s="73">
        <v>20.2</v>
      </c>
      <c r="AF32" s="73" t="s">
        <v>135</v>
      </c>
      <c r="AG32" s="73" t="s">
        <v>135</v>
      </c>
      <c r="AH32" s="73" t="s">
        <v>135</v>
      </c>
      <c r="AI32" s="73" t="s">
        <v>136</v>
      </c>
      <c r="AJ32" s="73" t="s">
        <v>135</v>
      </c>
      <c r="AK32" s="102" t="s">
        <v>135</v>
      </c>
      <c r="AL32" s="73"/>
      <c r="AM32" s="73"/>
      <c r="AN32" s="73" t="s">
        <v>135</v>
      </c>
      <c r="AO32" s="73" t="s">
        <v>135</v>
      </c>
      <c r="AP32" s="73">
        <v>24.3</v>
      </c>
      <c r="AQ32" s="73" t="s">
        <v>135</v>
      </c>
      <c r="AR32" s="73" t="s">
        <v>136</v>
      </c>
      <c r="AS32" s="73" t="s">
        <v>135</v>
      </c>
      <c r="AT32" s="73" t="s">
        <v>135</v>
      </c>
      <c r="AU32" s="73" t="s">
        <v>135</v>
      </c>
      <c r="AV32" s="73" t="s">
        <v>135</v>
      </c>
      <c r="AW32" s="73" t="s">
        <v>136</v>
      </c>
      <c r="AX32" s="73" t="s">
        <v>135</v>
      </c>
      <c r="AY32" s="73" t="s">
        <v>135</v>
      </c>
      <c r="AZ32" s="73" t="s">
        <v>136</v>
      </c>
      <c r="BA32" s="73" t="s">
        <v>135</v>
      </c>
      <c r="BB32" s="73" t="s">
        <v>135</v>
      </c>
      <c r="BC32" s="73" t="s">
        <v>135</v>
      </c>
      <c r="BD32" s="73" t="s">
        <v>135</v>
      </c>
      <c r="BE32" s="73" t="s">
        <v>135</v>
      </c>
      <c r="BF32" s="73" t="s">
        <v>135</v>
      </c>
      <c r="BG32" s="73"/>
      <c r="BH32" s="73"/>
      <c r="BI32" s="73"/>
      <c r="BJ32" s="73"/>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c r="DJ32" s="73"/>
      <c r="DK32" s="73"/>
      <c r="DL32" s="73"/>
      <c r="DM32" s="73"/>
      <c r="DN32" s="73"/>
    </row>
    <row r="33" spans="1:118" x14ac:dyDescent="0.2">
      <c r="A33" s="68" t="s">
        <v>163</v>
      </c>
      <c r="C33" s="105"/>
      <c r="D33" s="104"/>
      <c r="E33" s="104"/>
      <c r="F33" s="73" t="s">
        <v>135</v>
      </c>
      <c r="G33" s="73" t="s">
        <v>135</v>
      </c>
      <c r="H33" s="73" t="s">
        <v>136</v>
      </c>
      <c r="I33" s="73" t="s">
        <v>135</v>
      </c>
      <c r="J33" s="73" t="s">
        <v>136</v>
      </c>
      <c r="K33" s="73" t="s">
        <v>135</v>
      </c>
      <c r="L33" s="73" t="s">
        <v>135</v>
      </c>
      <c r="M33" s="73" t="s">
        <v>135</v>
      </c>
      <c r="N33" s="73" t="s">
        <v>135</v>
      </c>
      <c r="O33" s="73" t="s">
        <v>136</v>
      </c>
      <c r="P33" s="73">
        <v>7.15</v>
      </c>
      <c r="Q33" s="73" t="s">
        <v>136</v>
      </c>
      <c r="R33" s="73" t="s">
        <v>136</v>
      </c>
      <c r="S33" s="73">
        <v>5.9</v>
      </c>
      <c r="T33" s="73" t="s">
        <v>136</v>
      </c>
      <c r="U33" s="73">
        <v>7.4</v>
      </c>
      <c r="V33" s="73" t="s">
        <v>135</v>
      </c>
      <c r="W33" s="73" t="s">
        <v>136</v>
      </c>
      <c r="X33" s="73">
        <v>7.25</v>
      </c>
      <c r="Y33" s="73" t="s">
        <v>135</v>
      </c>
      <c r="Z33" s="73" t="s">
        <v>135</v>
      </c>
      <c r="AA33" s="73">
        <v>7.15</v>
      </c>
      <c r="AB33" s="73" t="s">
        <v>136</v>
      </c>
      <c r="AC33" s="73" t="s">
        <v>136</v>
      </c>
      <c r="AD33" s="73">
        <v>7.75</v>
      </c>
      <c r="AE33" s="73">
        <v>5.9</v>
      </c>
      <c r="AF33" s="73" t="s">
        <v>135</v>
      </c>
      <c r="AG33" s="73" t="s">
        <v>136</v>
      </c>
      <c r="AH33" s="73">
        <v>8.0500000000000007</v>
      </c>
      <c r="AI33" s="73" t="s">
        <v>136</v>
      </c>
      <c r="AJ33" s="73" t="s">
        <v>135</v>
      </c>
      <c r="AK33" s="102" t="s">
        <v>135</v>
      </c>
      <c r="AL33" s="73">
        <v>8.15</v>
      </c>
      <c r="AM33" s="73" t="s">
        <v>136</v>
      </c>
      <c r="AN33" s="73">
        <v>8.15</v>
      </c>
      <c r="AO33" s="73" t="s">
        <v>135</v>
      </c>
      <c r="AP33" s="73">
        <v>7</v>
      </c>
      <c r="AQ33" s="73" t="s">
        <v>135</v>
      </c>
      <c r="AR33" s="73" t="s">
        <v>136</v>
      </c>
      <c r="AS33" s="73" t="s">
        <v>135</v>
      </c>
      <c r="AT33" s="73" t="s">
        <v>135</v>
      </c>
      <c r="AU33" s="73">
        <v>9.15</v>
      </c>
      <c r="AV33" s="73" t="s">
        <v>135</v>
      </c>
      <c r="AW33" s="73" t="s">
        <v>135</v>
      </c>
      <c r="AX33" s="73" t="s">
        <v>135</v>
      </c>
      <c r="AY33" s="73" t="s">
        <v>135</v>
      </c>
      <c r="AZ33" s="73" t="s">
        <v>135</v>
      </c>
      <c r="BA33" s="73" t="s">
        <v>135</v>
      </c>
      <c r="BB33" s="73" t="s">
        <v>135</v>
      </c>
      <c r="BC33" s="73" t="s">
        <v>135</v>
      </c>
      <c r="BD33" s="73" t="s">
        <v>135</v>
      </c>
      <c r="BE33" s="73" t="s">
        <v>135</v>
      </c>
      <c r="BF33" s="73" t="s">
        <v>135</v>
      </c>
      <c r="BG33" s="73"/>
      <c r="BH33" s="73"/>
      <c r="BI33" s="73"/>
      <c r="BJ33" s="73"/>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c r="DJ33" s="73"/>
      <c r="DK33" s="73"/>
      <c r="DL33" s="73"/>
      <c r="DM33" s="73"/>
      <c r="DN33" s="73"/>
    </row>
    <row r="34" spans="1:118" x14ac:dyDescent="0.2">
      <c r="A34" s="68" t="s">
        <v>164</v>
      </c>
      <c r="C34" s="105"/>
      <c r="D34" s="104">
        <v>12.12</v>
      </c>
      <c r="E34" s="104">
        <v>11.87</v>
      </c>
      <c r="F34" s="73" t="s">
        <v>135</v>
      </c>
      <c r="G34" s="73" t="s">
        <v>136</v>
      </c>
      <c r="H34" s="73" t="s">
        <v>135</v>
      </c>
      <c r="I34" s="73" t="s">
        <v>135</v>
      </c>
      <c r="J34" s="73" t="s">
        <v>135</v>
      </c>
      <c r="K34" s="73" t="s">
        <v>136</v>
      </c>
      <c r="L34" s="73" t="s">
        <v>135</v>
      </c>
      <c r="M34" s="73" t="s">
        <v>136</v>
      </c>
      <c r="N34" s="73" t="s">
        <v>135</v>
      </c>
      <c r="O34" s="73" t="s">
        <v>136</v>
      </c>
      <c r="P34" s="73" t="s">
        <v>135</v>
      </c>
      <c r="Q34" s="73" t="s">
        <v>136</v>
      </c>
      <c r="R34" s="73" t="s">
        <v>135</v>
      </c>
      <c r="S34" s="73" t="s">
        <v>136</v>
      </c>
      <c r="T34" s="73" t="s">
        <v>136</v>
      </c>
      <c r="U34" s="73" t="s">
        <v>135</v>
      </c>
      <c r="V34" s="73" t="s">
        <v>135</v>
      </c>
      <c r="W34" s="73" t="s">
        <v>136</v>
      </c>
      <c r="X34" s="73" t="s">
        <v>135</v>
      </c>
      <c r="Y34" s="73" t="s">
        <v>136</v>
      </c>
      <c r="Z34" s="73" t="s">
        <v>135</v>
      </c>
      <c r="AA34" s="73" t="s">
        <v>135</v>
      </c>
      <c r="AB34" s="73" t="s">
        <v>135</v>
      </c>
      <c r="AC34" s="73" t="s">
        <v>135</v>
      </c>
      <c r="AD34" s="73" t="s">
        <v>135</v>
      </c>
      <c r="AE34" s="73" t="s">
        <v>135</v>
      </c>
      <c r="AF34" s="73" t="s">
        <v>135</v>
      </c>
      <c r="AG34" s="73" t="s">
        <v>135</v>
      </c>
      <c r="AH34" s="73" t="s">
        <v>135</v>
      </c>
      <c r="AI34" s="73" t="s">
        <v>135</v>
      </c>
      <c r="AJ34" s="73" t="s">
        <v>135</v>
      </c>
      <c r="AK34" s="102" t="s">
        <v>135</v>
      </c>
      <c r="AL34" s="73" t="s">
        <v>135</v>
      </c>
      <c r="AM34" s="73" t="s">
        <v>135</v>
      </c>
      <c r="AN34" s="73" t="s">
        <v>135</v>
      </c>
      <c r="AO34" s="73" t="s">
        <v>135</v>
      </c>
      <c r="AP34" s="73" t="s">
        <v>135</v>
      </c>
      <c r="AQ34" s="73" t="s">
        <v>135</v>
      </c>
      <c r="AR34" s="73" t="s">
        <v>135</v>
      </c>
      <c r="AS34" s="73" t="s">
        <v>135</v>
      </c>
      <c r="AT34" s="73" t="s">
        <v>135</v>
      </c>
      <c r="AU34" s="73" t="s">
        <v>135</v>
      </c>
      <c r="AV34" s="73" t="s">
        <v>135</v>
      </c>
      <c r="AW34" s="73" t="s">
        <v>135</v>
      </c>
      <c r="AX34" s="73" t="s">
        <v>135</v>
      </c>
      <c r="AY34" s="73" t="s">
        <v>135</v>
      </c>
      <c r="AZ34" s="73" t="s">
        <v>135</v>
      </c>
      <c r="BA34" s="73" t="s">
        <v>135</v>
      </c>
      <c r="BB34" s="73" t="s">
        <v>135</v>
      </c>
      <c r="BC34" s="73" t="s">
        <v>135</v>
      </c>
      <c r="BD34" s="73" t="s">
        <v>135</v>
      </c>
      <c r="BE34" s="73" t="s">
        <v>135</v>
      </c>
      <c r="BF34" s="73" t="s">
        <v>135</v>
      </c>
      <c r="BG34" s="73"/>
      <c r="BH34" s="73"/>
      <c r="BI34" s="73"/>
      <c r="BJ34" s="73"/>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c r="DJ34" s="73"/>
      <c r="DK34" s="73"/>
      <c r="DL34" s="73"/>
      <c r="DM34" s="73"/>
      <c r="DN34" s="73"/>
    </row>
    <row r="35" spans="1:118" x14ac:dyDescent="0.2">
      <c r="A35" s="68" t="s">
        <v>165</v>
      </c>
      <c r="C35" s="105"/>
      <c r="D35" s="104"/>
      <c r="E35" s="104"/>
      <c r="F35" s="73" t="s">
        <v>135</v>
      </c>
      <c r="G35" s="73">
        <v>3.55</v>
      </c>
      <c r="H35" s="73" t="s">
        <v>135</v>
      </c>
      <c r="I35" s="73">
        <v>3.55</v>
      </c>
      <c r="J35" s="73" t="s">
        <v>135</v>
      </c>
      <c r="K35" s="73">
        <v>3.55</v>
      </c>
      <c r="L35" s="73">
        <v>6.99</v>
      </c>
      <c r="M35" s="73">
        <v>3.59</v>
      </c>
      <c r="N35" s="73" t="s">
        <v>135</v>
      </c>
      <c r="O35" s="73">
        <v>7.59</v>
      </c>
      <c r="P35" s="73" t="s">
        <v>135</v>
      </c>
      <c r="Q35" s="73" t="s">
        <v>135</v>
      </c>
      <c r="R35" s="73" t="s">
        <v>135</v>
      </c>
      <c r="S35" s="73">
        <v>8.4</v>
      </c>
      <c r="T35" s="73" t="s">
        <v>135</v>
      </c>
      <c r="U35" s="73" t="s">
        <v>135</v>
      </c>
      <c r="V35" s="73" t="s">
        <v>135</v>
      </c>
      <c r="W35" s="73" t="s">
        <v>135</v>
      </c>
      <c r="X35" s="73">
        <v>8.15</v>
      </c>
      <c r="Y35" s="73" t="s">
        <v>135</v>
      </c>
      <c r="Z35" s="73">
        <v>9.25</v>
      </c>
      <c r="AA35" s="73" t="s">
        <v>135</v>
      </c>
      <c r="AB35" s="73" t="s">
        <v>135</v>
      </c>
      <c r="AC35" s="73" t="s">
        <v>136</v>
      </c>
      <c r="AD35" s="73" t="s">
        <v>135</v>
      </c>
      <c r="AE35" s="73">
        <v>9.59</v>
      </c>
      <c r="AF35" s="73" t="s">
        <v>135</v>
      </c>
      <c r="AG35" s="73" t="s">
        <v>135</v>
      </c>
      <c r="AH35" s="73" t="s">
        <v>135</v>
      </c>
      <c r="AI35" s="73">
        <v>10.45</v>
      </c>
      <c r="AJ35" s="73" t="s">
        <v>136</v>
      </c>
      <c r="AK35" s="102" t="s">
        <v>135</v>
      </c>
      <c r="AL35" s="73" t="s">
        <v>135</v>
      </c>
      <c r="AM35" s="73" t="s">
        <v>135</v>
      </c>
      <c r="AN35" s="73" t="s">
        <v>135</v>
      </c>
      <c r="AO35" s="73">
        <v>10.45</v>
      </c>
      <c r="AP35" s="73" t="s">
        <v>135</v>
      </c>
      <c r="AQ35" s="73" t="s">
        <v>135</v>
      </c>
      <c r="AR35" s="73" t="s">
        <v>135</v>
      </c>
      <c r="AS35" s="73" t="s">
        <v>135</v>
      </c>
      <c r="AT35" s="73" t="s">
        <v>135</v>
      </c>
      <c r="AU35" s="73">
        <v>13.65</v>
      </c>
      <c r="AV35" s="73" t="s">
        <v>135</v>
      </c>
      <c r="AW35" s="73" t="s">
        <v>135</v>
      </c>
      <c r="AX35" s="73" t="s">
        <v>135</v>
      </c>
      <c r="AY35" s="73" t="s">
        <v>135</v>
      </c>
      <c r="AZ35" s="73" t="s">
        <v>135</v>
      </c>
      <c r="BA35" s="73" t="s">
        <v>135</v>
      </c>
      <c r="BB35" s="73" t="s">
        <v>135</v>
      </c>
      <c r="BC35" s="73" t="s">
        <v>135</v>
      </c>
      <c r="BD35" s="73" t="s">
        <v>135</v>
      </c>
      <c r="BE35" s="73" t="s">
        <v>135</v>
      </c>
      <c r="BF35" s="73" t="s">
        <v>135</v>
      </c>
      <c r="BG35" s="73"/>
      <c r="BH35" s="73"/>
      <c r="BI35" s="73"/>
      <c r="BJ35" s="73"/>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c r="DJ35" s="73"/>
      <c r="DK35" s="73"/>
      <c r="DL35" s="73"/>
      <c r="DM35" s="73"/>
      <c r="DN35" s="73"/>
    </row>
    <row r="36" spans="1:118" x14ac:dyDescent="0.2">
      <c r="A36" s="68" t="s">
        <v>132</v>
      </c>
      <c r="C36" s="105"/>
      <c r="D36" s="104"/>
      <c r="E36" s="104"/>
      <c r="F36" s="73">
        <v>19.95</v>
      </c>
      <c r="G36" s="73" t="s">
        <v>135</v>
      </c>
      <c r="H36" s="73">
        <v>44</v>
      </c>
      <c r="I36" s="73" t="s">
        <v>135</v>
      </c>
      <c r="J36" s="73" t="s">
        <v>135</v>
      </c>
      <c r="K36" s="73">
        <v>64</v>
      </c>
      <c r="L36" s="73" t="s">
        <v>135</v>
      </c>
      <c r="M36" s="73" t="s">
        <v>135</v>
      </c>
      <c r="N36" s="73">
        <v>84</v>
      </c>
      <c r="O36" s="73">
        <v>99</v>
      </c>
      <c r="P36" s="73" t="s">
        <v>135</v>
      </c>
      <c r="Q36" s="73" t="s">
        <v>135</v>
      </c>
      <c r="R36" s="73" t="s">
        <v>135</v>
      </c>
      <c r="S36" s="73" t="s">
        <v>135</v>
      </c>
      <c r="T36" s="73" t="s">
        <v>135</v>
      </c>
      <c r="U36" s="73" t="s">
        <v>135</v>
      </c>
      <c r="V36" s="73" t="s">
        <v>135</v>
      </c>
      <c r="W36" s="73" t="s">
        <v>135</v>
      </c>
      <c r="X36" s="73" t="s">
        <v>135</v>
      </c>
      <c r="Y36" s="73" t="s">
        <v>135</v>
      </c>
      <c r="Z36" s="73" t="s">
        <v>135</v>
      </c>
      <c r="AA36" s="73" t="s">
        <v>135</v>
      </c>
      <c r="AB36" s="73" t="s">
        <v>135</v>
      </c>
      <c r="AC36" s="73" t="s">
        <v>135</v>
      </c>
      <c r="AD36" s="73" t="s">
        <v>135</v>
      </c>
      <c r="AE36" s="73" t="s">
        <v>135</v>
      </c>
      <c r="AF36" s="73" t="s">
        <v>135</v>
      </c>
      <c r="AG36" s="73" t="s">
        <v>135</v>
      </c>
      <c r="AH36" s="73" t="s">
        <v>135</v>
      </c>
      <c r="AI36" s="73" t="s">
        <v>135</v>
      </c>
      <c r="AJ36" s="73" t="s">
        <v>135</v>
      </c>
      <c r="AK36" s="73" t="s">
        <v>135</v>
      </c>
      <c r="AL36" s="73" t="s">
        <v>135</v>
      </c>
      <c r="AM36" s="73" t="s">
        <v>135</v>
      </c>
      <c r="AN36" s="73" t="s">
        <v>135</v>
      </c>
      <c r="AO36" s="73" t="s">
        <v>135</v>
      </c>
      <c r="AP36" s="73" t="s">
        <v>135</v>
      </c>
      <c r="AQ36" s="73" t="s">
        <v>135</v>
      </c>
      <c r="AR36" s="73" t="s">
        <v>135</v>
      </c>
      <c r="AS36" s="73" t="s">
        <v>135</v>
      </c>
      <c r="AT36" s="73" t="s">
        <v>135</v>
      </c>
      <c r="AU36" s="73" t="s">
        <v>135</v>
      </c>
      <c r="AV36" s="73" t="s">
        <v>135</v>
      </c>
      <c r="AW36" s="73" t="s">
        <v>135</v>
      </c>
      <c r="AX36" s="73" t="s">
        <v>135</v>
      </c>
      <c r="AY36" s="73" t="s">
        <v>135</v>
      </c>
      <c r="AZ36" s="73" t="s">
        <v>135</v>
      </c>
      <c r="BA36" s="73" t="s">
        <v>135</v>
      </c>
      <c r="BB36" s="73" t="s">
        <v>135</v>
      </c>
      <c r="BC36" s="73" t="s">
        <v>135</v>
      </c>
      <c r="BD36" s="73" t="s">
        <v>135</v>
      </c>
      <c r="BE36" s="73" t="s">
        <v>135</v>
      </c>
      <c r="BF36" s="73" t="s">
        <v>135</v>
      </c>
      <c r="BG36" s="73"/>
      <c r="BH36" s="73"/>
      <c r="BI36" s="73"/>
      <c r="BJ36" s="73"/>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3"/>
      <c r="CO36" s="73"/>
      <c r="CP36" s="73"/>
      <c r="CQ36" s="73"/>
      <c r="CR36" s="73"/>
      <c r="CS36" s="73"/>
      <c r="CT36" s="73"/>
      <c r="CU36" s="73"/>
      <c r="CV36" s="73"/>
      <c r="CW36" s="73"/>
      <c r="CX36" s="73"/>
      <c r="CY36" s="73"/>
      <c r="CZ36" s="73"/>
      <c r="DA36" s="73"/>
      <c r="DB36" s="73"/>
      <c r="DC36" s="73"/>
      <c r="DD36" s="73"/>
      <c r="DE36" s="73"/>
      <c r="DF36" s="73"/>
      <c r="DG36" s="73"/>
      <c r="DH36" s="73"/>
      <c r="DI36" s="73"/>
      <c r="DJ36" s="73"/>
      <c r="DK36" s="73"/>
      <c r="DL36" s="73"/>
      <c r="DM36" s="73"/>
      <c r="DN36" s="73"/>
    </row>
    <row r="37" spans="1:118" x14ac:dyDescent="0.2">
      <c r="C37" s="105"/>
      <c r="D37" s="104"/>
      <c r="E37" s="104"/>
      <c r="F37" s="73" t="s">
        <v>135</v>
      </c>
      <c r="G37" s="73" t="s">
        <v>135</v>
      </c>
      <c r="H37" s="73" t="s">
        <v>135</v>
      </c>
      <c r="I37" s="73" t="s">
        <v>135</v>
      </c>
      <c r="J37" s="73" t="s">
        <v>135</v>
      </c>
      <c r="K37" s="73" t="s">
        <v>135</v>
      </c>
      <c r="L37" s="73" t="s">
        <v>135</v>
      </c>
      <c r="M37" s="73" t="s">
        <v>135</v>
      </c>
      <c r="N37" s="73" t="s">
        <v>135</v>
      </c>
      <c r="O37" s="73" t="s">
        <v>135</v>
      </c>
      <c r="P37" s="73" t="s">
        <v>135</v>
      </c>
      <c r="Q37" s="73" t="s">
        <v>135</v>
      </c>
      <c r="R37" s="73" t="s">
        <v>135</v>
      </c>
      <c r="S37" s="73" t="s">
        <v>135</v>
      </c>
      <c r="T37" s="73" t="s">
        <v>135</v>
      </c>
      <c r="U37" s="73" t="s">
        <v>135</v>
      </c>
      <c r="V37" s="73" t="s">
        <v>135</v>
      </c>
      <c r="W37" s="73" t="s">
        <v>135</v>
      </c>
      <c r="X37" s="73" t="s">
        <v>135</v>
      </c>
      <c r="Y37" s="73" t="s">
        <v>135</v>
      </c>
      <c r="Z37" s="73" t="s">
        <v>135</v>
      </c>
      <c r="AA37" s="73" t="s">
        <v>135</v>
      </c>
      <c r="AB37" s="73" t="s">
        <v>135</v>
      </c>
      <c r="AC37" s="73" t="s">
        <v>135</v>
      </c>
      <c r="AD37" s="73" t="s">
        <v>135</v>
      </c>
      <c r="AE37" s="73" t="s">
        <v>135</v>
      </c>
      <c r="AF37" s="73" t="s">
        <v>135</v>
      </c>
      <c r="AG37" s="73" t="s">
        <v>135</v>
      </c>
      <c r="AH37" s="73" t="s">
        <v>135</v>
      </c>
      <c r="AI37" s="73" t="s">
        <v>135</v>
      </c>
      <c r="AJ37" s="73" t="s">
        <v>135</v>
      </c>
      <c r="AK37" s="102" t="s">
        <v>135</v>
      </c>
      <c r="AL37" s="73" t="s">
        <v>135</v>
      </c>
      <c r="AM37" s="73">
        <v>6.64</v>
      </c>
      <c r="AN37" s="73" t="s">
        <v>135</v>
      </c>
      <c r="AO37" s="73" t="s">
        <v>135</v>
      </c>
      <c r="AP37" s="73" t="s">
        <v>135</v>
      </c>
      <c r="AQ37" s="73" t="s">
        <v>135</v>
      </c>
      <c r="AR37" s="73" t="s">
        <v>135</v>
      </c>
      <c r="AS37" s="73" t="s">
        <v>135</v>
      </c>
      <c r="AT37" s="73" t="s">
        <v>135</v>
      </c>
      <c r="AU37" s="73">
        <v>6.64</v>
      </c>
      <c r="AV37" s="73" t="s">
        <v>135</v>
      </c>
      <c r="AW37" s="73" t="s">
        <v>135</v>
      </c>
      <c r="AX37" s="73" t="s">
        <v>135</v>
      </c>
      <c r="AY37" s="73">
        <v>7.03</v>
      </c>
      <c r="AZ37" s="73" t="s">
        <v>135</v>
      </c>
      <c r="BA37" s="73" t="s">
        <v>135</v>
      </c>
      <c r="BB37" s="73" t="s">
        <v>135</v>
      </c>
      <c r="BC37" s="73">
        <v>16.149999999999999</v>
      </c>
      <c r="BD37" s="73" t="s">
        <v>135</v>
      </c>
      <c r="BE37" s="73">
        <v>22.79</v>
      </c>
      <c r="BF37" s="73" t="s">
        <v>135</v>
      </c>
      <c r="BG37" s="73"/>
      <c r="BH37" s="73"/>
      <c r="BI37" s="73"/>
      <c r="BJ37" s="73"/>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3"/>
      <c r="CK37" s="73"/>
      <c r="CL37" s="73"/>
      <c r="CM37" s="73"/>
      <c r="CN37" s="73"/>
      <c r="CO37" s="73"/>
      <c r="CP37" s="73"/>
      <c r="CQ37" s="73"/>
      <c r="CR37" s="73"/>
      <c r="CS37" s="73"/>
      <c r="CT37" s="73"/>
      <c r="CU37" s="73"/>
      <c r="CV37" s="73"/>
      <c r="CW37" s="73"/>
      <c r="CX37" s="73"/>
      <c r="CY37" s="73"/>
      <c r="CZ37" s="73"/>
      <c r="DA37" s="73"/>
      <c r="DB37" s="73"/>
      <c r="DC37" s="73"/>
      <c r="DD37" s="73"/>
      <c r="DE37" s="73"/>
      <c r="DF37" s="73"/>
      <c r="DG37" s="73"/>
      <c r="DH37" s="73"/>
      <c r="DI37" s="73"/>
      <c r="DJ37" s="73"/>
      <c r="DK37" s="73"/>
      <c r="DL37" s="73"/>
      <c r="DM37" s="73"/>
      <c r="DN37" s="73"/>
    </row>
    <row r="38" spans="1:118" x14ac:dyDescent="0.2">
      <c r="C38" s="105"/>
      <c r="D38" s="104"/>
      <c r="E38" s="104"/>
      <c r="F38" s="73" t="s">
        <v>135</v>
      </c>
      <c r="G38" s="73" t="s">
        <v>135</v>
      </c>
      <c r="H38" s="73" t="s">
        <v>135</v>
      </c>
      <c r="I38" s="73" t="s">
        <v>135</v>
      </c>
      <c r="J38" s="73" t="s">
        <v>135</v>
      </c>
      <c r="K38" s="73" t="s">
        <v>135</v>
      </c>
      <c r="L38" s="73" t="s">
        <v>135</v>
      </c>
      <c r="M38" s="73" t="s">
        <v>135</v>
      </c>
      <c r="N38" s="73" t="s">
        <v>135</v>
      </c>
      <c r="O38" s="73" t="s">
        <v>135</v>
      </c>
      <c r="P38" s="73" t="s">
        <v>135</v>
      </c>
      <c r="Q38" s="73" t="s">
        <v>135</v>
      </c>
      <c r="R38" s="73" t="s">
        <v>135</v>
      </c>
      <c r="S38" s="73" t="s">
        <v>135</v>
      </c>
      <c r="T38" s="73" t="s">
        <v>135</v>
      </c>
      <c r="U38" s="73" t="s">
        <v>135</v>
      </c>
      <c r="V38" s="73" t="s">
        <v>135</v>
      </c>
      <c r="W38" s="73" t="s">
        <v>135</v>
      </c>
      <c r="X38" s="73" t="s">
        <v>135</v>
      </c>
      <c r="Y38" s="73" t="s">
        <v>135</v>
      </c>
      <c r="Z38" s="73" t="s">
        <v>135</v>
      </c>
      <c r="AA38" s="73" t="s">
        <v>135</v>
      </c>
      <c r="AB38" s="73" t="s">
        <v>135</v>
      </c>
      <c r="AC38" s="73" t="s">
        <v>135</v>
      </c>
      <c r="AD38" s="73" t="s">
        <v>136</v>
      </c>
      <c r="AE38" s="73" t="s">
        <v>135</v>
      </c>
      <c r="AF38" s="73" t="s">
        <v>135</v>
      </c>
      <c r="AG38" s="73" t="s">
        <v>135</v>
      </c>
      <c r="AH38" s="73" t="s">
        <v>135</v>
      </c>
      <c r="AI38" s="73" t="s">
        <v>135</v>
      </c>
      <c r="AJ38" s="73" t="s">
        <v>135</v>
      </c>
      <c r="AK38" s="102" t="s">
        <v>135</v>
      </c>
      <c r="AL38" s="73" t="s">
        <v>135</v>
      </c>
      <c r="AM38" s="73" t="s">
        <v>135</v>
      </c>
      <c r="AN38" s="73" t="s">
        <v>135</v>
      </c>
      <c r="AO38" s="73" t="s">
        <v>135</v>
      </c>
      <c r="AP38" s="73" t="s">
        <v>135</v>
      </c>
      <c r="AQ38" s="73" t="s">
        <v>135</v>
      </c>
      <c r="AR38" s="73" t="s">
        <v>135</v>
      </c>
      <c r="AS38" s="73" t="s">
        <v>135</v>
      </c>
      <c r="AT38" s="73" t="s">
        <v>135</v>
      </c>
      <c r="AU38" s="73" t="s">
        <v>135</v>
      </c>
      <c r="AV38" s="73">
        <v>58.6</v>
      </c>
      <c r="AW38" s="73" t="s">
        <v>135</v>
      </c>
      <c r="AX38" s="73" t="s">
        <v>135</v>
      </c>
      <c r="AY38" s="73" t="s">
        <v>135</v>
      </c>
      <c r="AZ38" s="73" t="s">
        <v>135</v>
      </c>
      <c r="BA38" s="73" t="s">
        <v>135</v>
      </c>
      <c r="BB38" s="73" t="s">
        <v>135</v>
      </c>
      <c r="BC38" s="73">
        <v>56</v>
      </c>
      <c r="BD38" s="73" t="s">
        <v>135</v>
      </c>
      <c r="BE38" s="73">
        <v>58.66</v>
      </c>
      <c r="BF38" s="73" t="s">
        <v>135</v>
      </c>
      <c r="BG38" s="73"/>
      <c r="BH38" s="73"/>
      <c r="BI38" s="73"/>
      <c r="BJ38" s="73"/>
      <c r="BK38" s="73"/>
      <c r="BL38" s="73"/>
      <c r="BM38" s="73"/>
      <c r="BN38" s="73"/>
      <c r="BO38" s="73"/>
      <c r="BP38" s="73"/>
      <c r="BQ38" s="73"/>
      <c r="BR38" s="73"/>
      <c r="BS38" s="73"/>
      <c r="BT38" s="73"/>
      <c r="BU38" s="73"/>
      <c r="BV38" s="73"/>
      <c r="BW38" s="73"/>
      <c r="BX38" s="73"/>
      <c r="BY38" s="73"/>
      <c r="BZ38" s="73"/>
      <c r="CA38" s="73"/>
      <c r="CB38" s="73"/>
      <c r="CC38" s="73"/>
      <c r="CD38" s="73"/>
      <c r="CE38" s="73"/>
      <c r="CF38" s="73"/>
      <c r="CG38" s="73"/>
      <c r="CH38" s="73"/>
      <c r="CI38" s="73"/>
      <c r="CJ38" s="73"/>
      <c r="CK38" s="73"/>
      <c r="CL38" s="73"/>
      <c r="CM38" s="73"/>
      <c r="CN38" s="73"/>
      <c r="CO38" s="73"/>
      <c r="CP38" s="73"/>
      <c r="CQ38" s="73"/>
      <c r="CR38" s="73"/>
      <c r="CS38" s="73"/>
      <c r="CT38" s="73"/>
      <c r="CU38" s="73"/>
      <c r="CV38" s="73"/>
      <c r="CW38" s="73"/>
      <c r="CX38" s="73"/>
      <c r="CY38" s="73"/>
      <c r="CZ38" s="73"/>
      <c r="DA38" s="73"/>
      <c r="DB38" s="73"/>
      <c r="DC38" s="73"/>
      <c r="DD38" s="73"/>
      <c r="DE38" s="73"/>
      <c r="DF38" s="73"/>
      <c r="DG38" s="73"/>
      <c r="DH38" s="73"/>
      <c r="DI38" s="73"/>
      <c r="DJ38" s="73"/>
      <c r="DK38" s="73"/>
      <c r="DL38" s="73"/>
      <c r="DM38" s="73"/>
      <c r="DN38" s="73"/>
    </row>
    <row r="39" spans="1:118" x14ac:dyDescent="0.2">
      <c r="C39" s="105"/>
      <c r="D39" s="105"/>
      <c r="E39" s="105"/>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3"/>
      <c r="BN39" s="73"/>
      <c r="BO39" s="73"/>
      <c r="BP39" s="73"/>
      <c r="BQ39" s="73"/>
      <c r="BR39" s="73"/>
      <c r="BS39" s="73"/>
      <c r="BT39" s="73"/>
      <c r="BU39" s="73"/>
      <c r="BV39" s="73"/>
      <c r="BW39" s="73"/>
      <c r="BX39" s="73"/>
      <c r="BY39" s="73"/>
      <c r="BZ39" s="73"/>
      <c r="CA39" s="73"/>
      <c r="CB39" s="73"/>
      <c r="CC39" s="73"/>
      <c r="CD39" s="73"/>
      <c r="CE39" s="73"/>
      <c r="CF39" s="73"/>
      <c r="CG39" s="73"/>
      <c r="CH39" s="73"/>
      <c r="CI39" s="73"/>
      <c r="CJ39" s="73"/>
      <c r="CK39" s="73"/>
      <c r="CL39" s="73"/>
      <c r="CM39" s="73"/>
      <c r="CN39" s="73"/>
      <c r="CO39" s="73"/>
      <c r="CP39" s="73"/>
      <c r="CQ39" s="73"/>
      <c r="CR39" s="73"/>
      <c r="CS39" s="73"/>
      <c r="CT39" s="73"/>
      <c r="CU39" s="73"/>
      <c r="CV39" s="73"/>
      <c r="CW39" s="73"/>
      <c r="CX39" s="73"/>
      <c r="CY39" s="73"/>
      <c r="CZ39" s="73"/>
      <c r="DA39" s="73"/>
      <c r="DB39" s="73"/>
      <c r="DC39" s="73"/>
      <c r="DD39" s="73"/>
      <c r="DE39" s="73"/>
      <c r="DF39" s="73"/>
      <c r="DG39" s="73"/>
      <c r="DH39" s="73"/>
      <c r="DI39" s="73"/>
      <c r="DJ39" s="73"/>
      <c r="DK39" s="73"/>
      <c r="DL39" s="73"/>
      <c r="DM39" s="73"/>
      <c r="DN39" s="73"/>
    </row>
    <row r="40" spans="1:118" x14ac:dyDescent="0.2">
      <c r="C40" s="105"/>
      <c r="D40" s="105"/>
      <c r="E40" s="105"/>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c r="BR40" s="73"/>
      <c r="BS40" s="73"/>
      <c r="BT40" s="73"/>
      <c r="BU40" s="73"/>
      <c r="BV40" s="73"/>
      <c r="BW40" s="73"/>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73"/>
      <c r="DJ40" s="73"/>
      <c r="DK40" s="73"/>
      <c r="DL40" s="73"/>
      <c r="DM40" s="73"/>
      <c r="DN40" s="73"/>
    </row>
    <row r="41" spans="1:118" x14ac:dyDescent="0.2">
      <c r="C41" s="105"/>
      <c r="D41" s="105"/>
      <c r="E41" s="105"/>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3"/>
      <c r="BR41" s="73"/>
      <c r="BS41" s="73"/>
      <c r="BT41" s="73"/>
      <c r="BU41" s="73"/>
      <c r="BV41" s="73"/>
      <c r="BW41" s="73"/>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73"/>
      <c r="DJ41" s="73"/>
      <c r="DK41" s="73"/>
      <c r="DL41" s="73"/>
      <c r="DM41" s="73"/>
      <c r="DN41" s="73"/>
    </row>
    <row r="42" spans="1:118" x14ac:dyDescent="0.2">
      <c r="C42" s="105"/>
      <c r="D42" s="105"/>
      <c r="E42" s="105"/>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c r="BE42" s="73"/>
      <c r="BF42" s="73"/>
      <c r="BG42" s="73"/>
      <c r="BH42" s="73"/>
      <c r="BI42" s="73"/>
      <c r="BJ42" s="73"/>
      <c r="BK42" s="73"/>
      <c r="BL42" s="73"/>
      <c r="BM42" s="73"/>
      <c r="BN42" s="73"/>
      <c r="BO42" s="73"/>
      <c r="BP42" s="73"/>
      <c r="BQ42" s="73"/>
      <c r="BR42" s="73"/>
      <c r="BS42" s="73"/>
      <c r="BT42" s="73"/>
      <c r="BU42" s="73"/>
      <c r="BV42" s="73"/>
      <c r="BW42" s="73"/>
      <c r="BX42" s="73"/>
      <c r="BY42" s="73"/>
      <c r="BZ42" s="73"/>
      <c r="CA42" s="73"/>
      <c r="CB42" s="73"/>
      <c r="CC42" s="73"/>
      <c r="CD42" s="73"/>
      <c r="CE42" s="73"/>
      <c r="CF42" s="73"/>
      <c r="CG42" s="73"/>
      <c r="CH42" s="73"/>
      <c r="CI42" s="73"/>
      <c r="CJ42" s="73"/>
      <c r="CK42" s="73"/>
      <c r="CL42" s="73"/>
      <c r="CM42" s="73"/>
      <c r="CN42" s="73"/>
      <c r="CO42" s="73"/>
      <c r="CP42" s="73"/>
      <c r="CQ42" s="73"/>
      <c r="CR42" s="73"/>
      <c r="CS42" s="73"/>
      <c r="CT42" s="73"/>
      <c r="CU42" s="73"/>
      <c r="CV42" s="73"/>
      <c r="CW42" s="73"/>
      <c r="CX42" s="73"/>
      <c r="CY42" s="73"/>
      <c r="CZ42" s="73"/>
      <c r="DA42" s="73"/>
      <c r="DB42" s="73"/>
      <c r="DC42" s="73"/>
      <c r="DD42" s="73"/>
      <c r="DE42" s="73"/>
      <c r="DF42" s="73"/>
      <c r="DG42" s="73"/>
      <c r="DH42" s="73"/>
      <c r="DI42" s="73"/>
      <c r="DJ42" s="73"/>
      <c r="DK42" s="73"/>
      <c r="DL42" s="73"/>
      <c r="DM42" s="73"/>
      <c r="DN42" s="73"/>
    </row>
    <row r="43" spans="1:118" x14ac:dyDescent="0.2">
      <c r="C43" s="105"/>
      <c r="D43" s="105"/>
      <c r="E43" s="105"/>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3"/>
      <c r="BM43" s="73"/>
      <c r="BN43" s="73"/>
      <c r="BO43" s="73"/>
      <c r="BP43" s="73"/>
      <c r="BQ43" s="73"/>
      <c r="BR43" s="73"/>
      <c r="BS43" s="73"/>
      <c r="BT43" s="73"/>
      <c r="BU43" s="73"/>
      <c r="BV43" s="73"/>
      <c r="BW43" s="73"/>
      <c r="BX43" s="73"/>
      <c r="BY43" s="73"/>
      <c r="BZ43" s="73"/>
      <c r="CA43" s="73"/>
      <c r="CB43" s="73"/>
      <c r="CC43" s="73"/>
      <c r="CD43" s="73"/>
      <c r="CE43" s="73"/>
      <c r="CF43" s="73"/>
      <c r="CG43" s="73"/>
      <c r="CH43" s="73"/>
      <c r="CI43" s="73"/>
      <c r="CJ43" s="73"/>
      <c r="CK43" s="73"/>
      <c r="CL43" s="73"/>
      <c r="CM43" s="73"/>
      <c r="CN43" s="73"/>
      <c r="CO43" s="73"/>
      <c r="CP43" s="73"/>
      <c r="CQ43" s="73"/>
      <c r="CR43" s="73"/>
      <c r="CS43" s="73"/>
      <c r="CT43" s="73"/>
      <c r="CU43" s="73"/>
      <c r="CV43" s="73"/>
      <c r="CW43" s="73"/>
      <c r="CX43" s="73"/>
      <c r="CY43" s="73"/>
      <c r="CZ43" s="73"/>
      <c r="DA43" s="73"/>
      <c r="DB43" s="73"/>
      <c r="DC43" s="73"/>
      <c r="DD43" s="73"/>
      <c r="DE43" s="73"/>
      <c r="DF43" s="73"/>
      <c r="DG43" s="73"/>
      <c r="DH43" s="73"/>
      <c r="DI43" s="73"/>
      <c r="DJ43" s="73"/>
      <c r="DK43" s="73"/>
      <c r="DL43" s="73"/>
      <c r="DM43" s="73"/>
      <c r="DN43" s="73"/>
    </row>
    <row r="44" spans="1:118" x14ac:dyDescent="0.2">
      <c r="A44" s="68" t="s">
        <v>176</v>
      </c>
      <c r="B44" s="68" t="str">
        <f>IF('detector presencia'!C11=2,'detector presencia'!C30,IF('detector presencia'!C11=3,'detector presencia'!C31,IF('detector presencia'!C11=6,IF('detector presencia'!D23&lt;3,'detector presencia'!E34,'detector presencia'!D34),INDEX('detector presencia'!F29:BB36,'detector presencia'!C11,MATCH('4. MAE Detector presencia'!G46,'detector presencia'!F28:BF28,0)))))</f>
        <v>?</v>
      </c>
      <c r="C44" s="105"/>
      <c r="D44" s="105"/>
      <c r="E44" s="105"/>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3"/>
      <c r="BM44" s="73"/>
      <c r="BN44" s="73"/>
      <c r="BO44" s="73"/>
      <c r="BP44" s="73"/>
      <c r="BQ44" s="73"/>
      <c r="BR44" s="73"/>
      <c r="BS44" s="73"/>
      <c r="BT44" s="73"/>
      <c r="BU44" s="73"/>
      <c r="BV44" s="73"/>
      <c r="BW44" s="73"/>
      <c r="BX44" s="73"/>
      <c r="BY44" s="73"/>
      <c r="BZ44" s="73"/>
      <c r="CA44" s="73"/>
      <c r="CB44" s="73"/>
      <c r="CC44" s="73"/>
      <c r="CD44" s="73"/>
      <c r="CE44" s="73"/>
      <c r="CF44" s="73"/>
      <c r="CG44" s="73"/>
      <c r="CH44" s="73"/>
      <c r="CI44" s="73"/>
      <c r="CJ44" s="73"/>
      <c r="CK44" s="73"/>
      <c r="CL44" s="73"/>
      <c r="CM44" s="73"/>
      <c r="CN44" s="73"/>
      <c r="CO44" s="73"/>
      <c r="CP44" s="73"/>
      <c r="CQ44" s="73"/>
      <c r="CR44" s="73"/>
      <c r="CS44" s="73"/>
      <c r="CT44" s="73"/>
      <c r="CU44" s="73"/>
      <c r="CV44" s="73"/>
      <c r="CW44" s="73"/>
      <c r="CX44" s="73"/>
      <c r="CY44" s="73"/>
      <c r="CZ44" s="73"/>
      <c r="DA44" s="73"/>
      <c r="DB44" s="73"/>
      <c r="DC44" s="73"/>
      <c r="DD44" s="73"/>
      <c r="DE44" s="73"/>
      <c r="DF44" s="73"/>
      <c r="DG44" s="73"/>
      <c r="DH44" s="73"/>
      <c r="DI44" s="73"/>
      <c r="DJ44" s="73"/>
      <c r="DK44" s="73"/>
      <c r="DL44" s="73"/>
      <c r="DM44" s="73"/>
      <c r="DN44" s="73"/>
    </row>
    <row r="45" spans="1:118" x14ac:dyDescent="0.2">
      <c r="AY45" s="73"/>
      <c r="AZ45" s="73"/>
      <c r="BA45" s="73"/>
      <c r="BB45" s="73"/>
    </row>
    <row r="46" spans="1:118" x14ac:dyDescent="0.2">
      <c r="A46" s="68" t="s">
        <v>177</v>
      </c>
      <c r="C46" s="106"/>
      <c r="F46" s="68" t="s">
        <v>180</v>
      </c>
    </row>
    <row r="47" spans="1:118" x14ac:dyDescent="0.2">
      <c r="C47" s="106"/>
    </row>
    <row r="48" spans="1:118" x14ac:dyDescent="0.2">
      <c r="A48" s="68" t="s">
        <v>178</v>
      </c>
      <c r="C48" s="106">
        <f>IF(C11=1,1000,IF(C11=2,2000,IF(C11=3,2000,IF(C11=4,IF(D23=2,F48*812.18+31878.2,F48*406.09+55938.2),IF(C11=5,IF(D23=2,F48*812.18+3878.2,F48*406.09+15938.2),IF(OR(C11=6,C11=7)=TRUE,IF(D23=2,F48*812.18+3878.2,F48*406.09+11938.2),IF(C11=8,50000,20000)))))))</f>
        <v>59186.92</v>
      </c>
      <c r="D48" s="68" t="s">
        <v>129</v>
      </c>
      <c r="F48" s="68">
        <f>IF('4. MAE Detector presencia'!G9&lt;10,'4. MAE Detector presencia'!G9,10)</f>
        <v>8</v>
      </c>
      <c r="G48" s="68" t="s">
        <v>129</v>
      </c>
    </row>
    <row r="49" spans="1:14" x14ac:dyDescent="0.2">
      <c r="A49" s="68" t="s">
        <v>179</v>
      </c>
      <c r="C49" s="106">
        <f>IF(C11=1,1000,IF(C11=2,2000,IF(C11=3,2000,IF(C11=4,IF(D23=2,(F52+F55)*812.18+31878.2,(F52+F55)*406.09+55938.2),IF(C11=5,IF(D23=2,(F52+F55)*812.18+3878.2,(F52+F55)*406.09+15938.2),IF(OR(C11=6,C11=7)=TRUE,IF(D23=2,(F52+F55)*812.18+3878.2,(F52+F55)*406.09+11938.2),IF(C11=8,50000,20000)))))))</f>
        <v>62029.549999999996</v>
      </c>
      <c r="D49" s="68" t="s">
        <v>129</v>
      </c>
      <c r="F49" s="68">
        <f>IF(C4=1,'4. MAE Detector presencia'!G22/60,'4. MAE Detector presencia'!G22)</f>
        <v>10</v>
      </c>
      <c r="G49" s="68" t="s">
        <v>129</v>
      </c>
      <c r="K49" s="68">
        <v>13</v>
      </c>
      <c r="L49" s="68">
        <v>345</v>
      </c>
      <c r="M49" s="106">
        <f t="shared" ref="M49:M57" si="0">L49*0.65</f>
        <v>224.25</v>
      </c>
      <c r="N49" s="106"/>
    </row>
    <row r="50" spans="1:14" x14ac:dyDescent="0.2">
      <c r="C50" s="106"/>
      <c r="K50" s="68">
        <v>18</v>
      </c>
      <c r="L50" s="68">
        <v>360</v>
      </c>
      <c r="M50" s="106">
        <f t="shared" si="0"/>
        <v>234</v>
      </c>
      <c r="N50" s="106"/>
    </row>
    <row r="51" spans="1:14" x14ac:dyDescent="0.2">
      <c r="F51" s="68" t="s">
        <v>181</v>
      </c>
      <c r="K51" s="68">
        <v>26</v>
      </c>
      <c r="L51" s="68">
        <v>415</v>
      </c>
      <c r="M51" s="106">
        <f t="shared" si="0"/>
        <v>269.75</v>
      </c>
      <c r="N51" s="106"/>
    </row>
    <row r="52" spans="1:14" x14ac:dyDescent="0.2">
      <c r="F52" s="68">
        <f>IF(C4=1,'4. MAE Detector presencia'!G22/60,'4. MAE Detector presencia'!G22)</f>
        <v>10</v>
      </c>
      <c r="K52" s="68">
        <v>24</v>
      </c>
      <c r="L52" s="68">
        <v>360</v>
      </c>
      <c r="M52" s="106">
        <f t="shared" si="0"/>
        <v>234</v>
      </c>
      <c r="N52" s="106"/>
    </row>
    <row r="53" spans="1:14" x14ac:dyDescent="0.2">
      <c r="K53" s="68">
        <v>36</v>
      </c>
      <c r="L53" s="68">
        <v>360</v>
      </c>
      <c r="M53" s="106">
        <f t="shared" si="0"/>
        <v>234</v>
      </c>
      <c r="N53" s="106"/>
    </row>
    <row r="54" spans="1:14" x14ac:dyDescent="0.2">
      <c r="F54" s="68" t="str">
        <f>'4. MAE Detector presencia'!D66</f>
        <v>Temporización prevista antes de apagarse</v>
      </c>
      <c r="K54" s="68">
        <v>5</v>
      </c>
      <c r="L54" s="68">
        <v>165</v>
      </c>
      <c r="M54" s="106">
        <f t="shared" si="0"/>
        <v>107.25</v>
      </c>
      <c r="N54" s="106"/>
    </row>
    <row r="55" spans="1:14" x14ac:dyDescent="0.2">
      <c r="F55" s="68">
        <f>IF(C4=1,'4. MAE Detector presencia'!G66/60,'4. MAE Detector presencia'!G66)</f>
        <v>5</v>
      </c>
      <c r="K55" s="68">
        <v>7</v>
      </c>
      <c r="L55" s="68">
        <v>165</v>
      </c>
      <c r="M55" s="106">
        <f t="shared" si="0"/>
        <v>107.25</v>
      </c>
      <c r="N55" s="106"/>
    </row>
    <row r="56" spans="1:14" x14ac:dyDescent="0.2">
      <c r="K56" s="68">
        <v>9</v>
      </c>
      <c r="L56" s="68">
        <v>165</v>
      </c>
      <c r="M56" s="106">
        <f t="shared" si="0"/>
        <v>107.25</v>
      </c>
      <c r="N56" s="106"/>
    </row>
    <row r="57" spans="1:14" x14ac:dyDescent="0.2">
      <c r="K57" s="68">
        <v>11</v>
      </c>
      <c r="L57" s="68">
        <v>165</v>
      </c>
      <c r="M57" s="106">
        <f t="shared" si="0"/>
        <v>107.25</v>
      </c>
      <c r="N57" s="106"/>
    </row>
    <row r="61" spans="1:14" x14ac:dyDescent="0.2">
      <c r="A61" s="68" t="s">
        <v>137</v>
      </c>
    </row>
    <row r="63" spans="1:14" x14ac:dyDescent="0.2">
      <c r="A63" s="68" t="s">
        <v>138</v>
      </c>
    </row>
    <row r="67" spans="1:1" x14ac:dyDescent="0.2">
      <c r="A67" s="68" t="s">
        <v>153</v>
      </c>
    </row>
    <row r="68" spans="1:1" x14ac:dyDescent="0.2">
      <c r="A68" s="107">
        <f>IF(F48&lt;10,IF('detector presencia'!C11&lt;4,IF('detector presencia'!C11=1,1000,2000),IF('detector presencia'!D23=4,IF('detector presencia'!C4=1,('4. MAE Detector presencia'!G9)*406.09+11939,('4. MAE Detector presencia'!G9)*406.09+11939),IF('detector presencia'!C4=1,('4. MAE Detector presencia'!G9)*812.18+3878.2,('4. MAE Detector presencia'!G9)*812.18+3878.2))),IF('detector presencia'!C11&lt;4,IF('detector presencia'!C11=1,1000,2000),IF('detector presencia'!D23=4,16000,12000)))</f>
        <v>10375.64</v>
      </c>
    </row>
    <row r="69" spans="1:1" x14ac:dyDescent="0.2">
      <c r="A69" s="68">
        <f>IF(F49&lt;10,IF('detector presencia'!C11&lt;4,IF('detector presencia'!C11=1,1000,2000),IF('detector presencia'!D23=4,IF('detector presencia'!C4=1,('4. MAE Detector presencia'!G22/60+'4. MAE Detector presencia'!G66/60)*406.09+11939,('4. MAE Detector presencia'!G22+'4. MAE Detector presencia'!G66/60)*406.09+11939),IF('detector presencia'!C4=1,('4. MAE Detector presencia'!G22/60+'4. MAE Detector presencia'!G66/60)*812.18+3878.2,('4. MAE Detector presencia'!G22+'4. MAE Detector presencia'!G66/60)*812.18+3878.2))),IF('detector presencia'!C11&lt;4,IF('detector presencia'!C11=1,1000,2000),IF('detector presencia'!D23=4,16000,12000)))</f>
        <v>12000</v>
      </c>
    </row>
  </sheetData>
  <pageMargins left="0.78740157499999996" right="0.78740157499999996" top="0.984251969" bottom="0.984251969" header="0.4921259845" footer="0.4921259845"/>
  <pageSetup paperSize="9" scale="76" orientation="landscape" r:id="rId1"/>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2"/>
  <sheetViews>
    <sheetView tabSelected="1" showOutlineSymbols="0" topLeftCell="A37" zoomScaleNormal="100" workbookViewId="0">
      <selection activeCell="H59" sqref="H59"/>
    </sheetView>
  </sheetViews>
  <sheetFormatPr baseColWidth="10" defaultRowHeight="12.75" x14ac:dyDescent="0.2"/>
  <cols>
    <col min="1" max="1" width="11.42578125" style="68"/>
    <col min="2" max="2" width="4.5703125" style="68" customWidth="1"/>
    <col min="3" max="3" width="25.140625" style="68" customWidth="1"/>
    <col min="4" max="7" width="11.42578125" style="68"/>
    <col min="8" max="8" width="13.42578125" style="68" customWidth="1"/>
    <col min="9" max="9" width="27" style="68" customWidth="1"/>
    <col min="10" max="257" width="11.42578125" style="68"/>
    <col min="258" max="258" width="4.5703125" style="68" customWidth="1"/>
    <col min="259" max="259" width="25.140625" style="68" customWidth="1"/>
    <col min="260" max="264" width="11.42578125" style="68"/>
    <col min="265" max="265" width="27" style="68" customWidth="1"/>
    <col min="266" max="513" width="11.42578125" style="68"/>
    <col min="514" max="514" width="4.5703125" style="68" customWidth="1"/>
    <col min="515" max="515" width="25.140625" style="68" customWidth="1"/>
    <col min="516" max="520" width="11.42578125" style="68"/>
    <col min="521" max="521" width="27" style="68" customWidth="1"/>
    <col min="522" max="769" width="11.42578125" style="68"/>
    <col min="770" max="770" width="4.5703125" style="68" customWidth="1"/>
    <col min="771" max="771" width="25.140625" style="68" customWidth="1"/>
    <col min="772" max="776" width="11.42578125" style="68"/>
    <col min="777" max="777" width="27" style="68" customWidth="1"/>
    <col min="778" max="1025" width="11.42578125" style="68"/>
    <col min="1026" max="1026" width="4.5703125" style="68" customWidth="1"/>
    <col min="1027" max="1027" width="25.140625" style="68" customWidth="1"/>
    <col min="1028" max="1032" width="11.42578125" style="68"/>
    <col min="1033" max="1033" width="27" style="68" customWidth="1"/>
    <col min="1034" max="1281" width="11.42578125" style="68"/>
    <col min="1282" max="1282" width="4.5703125" style="68" customWidth="1"/>
    <col min="1283" max="1283" width="25.140625" style="68" customWidth="1"/>
    <col min="1284" max="1288" width="11.42578125" style="68"/>
    <col min="1289" max="1289" width="27" style="68" customWidth="1"/>
    <col min="1290" max="1537" width="11.42578125" style="68"/>
    <col min="1538" max="1538" width="4.5703125" style="68" customWidth="1"/>
    <col min="1539" max="1539" width="25.140625" style="68" customWidth="1"/>
    <col min="1540" max="1544" width="11.42578125" style="68"/>
    <col min="1545" max="1545" width="27" style="68" customWidth="1"/>
    <col min="1546" max="1793" width="11.42578125" style="68"/>
    <col min="1794" max="1794" width="4.5703125" style="68" customWidth="1"/>
    <col min="1795" max="1795" width="25.140625" style="68" customWidth="1"/>
    <col min="1796" max="1800" width="11.42578125" style="68"/>
    <col min="1801" max="1801" width="27" style="68" customWidth="1"/>
    <col min="1802" max="2049" width="11.42578125" style="68"/>
    <col min="2050" max="2050" width="4.5703125" style="68" customWidth="1"/>
    <col min="2051" max="2051" width="25.140625" style="68" customWidth="1"/>
    <col min="2052" max="2056" width="11.42578125" style="68"/>
    <col min="2057" max="2057" width="27" style="68" customWidth="1"/>
    <col min="2058" max="2305" width="11.42578125" style="68"/>
    <col min="2306" max="2306" width="4.5703125" style="68" customWidth="1"/>
    <col min="2307" max="2307" width="25.140625" style="68" customWidth="1"/>
    <col min="2308" max="2312" width="11.42578125" style="68"/>
    <col min="2313" max="2313" width="27" style="68" customWidth="1"/>
    <col min="2314" max="2561" width="11.42578125" style="68"/>
    <col min="2562" max="2562" width="4.5703125" style="68" customWidth="1"/>
    <col min="2563" max="2563" width="25.140625" style="68" customWidth="1"/>
    <col min="2564" max="2568" width="11.42578125" style="68"/>
    <col min="2569" max="2569" width="27" style="68" customWidth="1"/>
    <col min="2570" max="2817" width="11.42578125" style="68"/>
    <col min="2818" max="2818" width="4.5703125" style="68" customWidth="1"/>
    <col min="2819" max="2819" width="25.140625" style="68" customWidth="1"/>
    <col min="2820" max="2824" width="11.42578125" style="68"/>
    <col min="2825" max="2825" width="27" style="68" customWidth="1"/>
    <col min="2826" max="3073" width="11.42578125" style="68"/>
    <col min="3074" max="3074" width="4.5703125" style="68" customWidth="1"/>
    <col min="3075" max="3075" width="25.140625" style="68" customWidth="1"/>
    <col min="3076" max="3080" width="11.42578125" style="68"/>
    <col min="3081" max="3081" width="27" style="68" customWidth="1"/>
    <col min="3082" max="3329" width="11.42578125" style="68"/>
    <col min="3330" max="3330" width="4.5703125" style="68" customWidth="1"/>
    <col min="3331" max="3331" width="25.140625" style="68" customWidth="1"/>
    <col min="3332" max="3336" width="11.42578125" style="68"/>
    <col min="3337" max="3337" width="27" style="68" customWidth="1"/>
    <col min="3338" max="3585" width="11.42578125" style="68"/>
    <col min="3586" max="3586" width="4.5703125" style="68" customWidth="1"/>
    <col min="3587" max="3587" width="25.140625" style="68" customWidth="1"/>
    <col min="3588" max="3592" width="11.42578125" style="68"/>
    <col min="3593" max="3593" width="27" style="68" customWidth="1"/>
    <col min="3594" max="3841" width="11.42578125" style="68"/>
    <col min="3842" max="3842" width="4.5703125" style="68" customWidth="1"/>
    <col min="3843" max="3843" width="25.140625" style="68" customWidth="1"/>
    <col min="3844" max="3848" width="11.42578125" style="68"/>
    <col min="3849" max="3849" width="27" style="68" customWidth="1"/>
    <col min="3850" max="4097" width="11.42578125" style="68"/>
    <col min="4098" max="4098" width="4.5703125" style="68" customWidth="1"/>
    <col min="4099" max="4099" width="25.140625" style="68" customWidth="1"/>
    <col min="4100" max="4104" width="11.42578125" style="68"/>
    <col min="4105" max="4105" width="27" style="68" customWidth="1"/>
    <col min="4106" max="4353" width="11.42578125" style="68"/>
    <col min="4354" max="4354" width="4.5703125" style="68" customWidth="1"/>
    <col min="4355" max="4355" width="25.140625" style="68" customWidth="1"/>
    <col min="4356" max="4360" width="11.42578125" style="68"/>
    <col min="4361" max="4361" width="27" style="68" customWidth="1"/>
    <col min="4362" max="4609" width="11.42578125" style="68"/>
    <col min="4610" max="4610" width="4.5703125" style="68" customWidth="1"/>
    <col min="4611" max="4611" width="25.140625" style="68" customWidth="1"/>
    <col min="4612" max="4616" width="11.42578125" style="68"/>
    <col min="4617" max="4617" width="27" style="68" customWidth="1"/>
    <col min="4618" max="4865" width="11.42578125" style="68"/>
    <col min="4866" max="4866" width="4.5703125" style="68" customWidth="1"/>
    <col min="4867" max="4867" width="25.140625" style="68" customWidth="1"/>
    <col min="4868" max="4872" width="11.42578125" style="68"/>
    <col min="4873" max="4873" width="27" style="68" customWidth="1"/>
    <col min="4874" max="5121" width="11.42578125" style="68"/>
    <col min="5122" max="5122" width="4.5703125" style="68" customWidth="1"/>
    <col min="5123" max="5123" width="25.140625" style="68" customWidth="1"/>
    <col min="5124" max="5128" width="11.42578125" style="68"/>
    <col min="5129" max="5129" width="27" style="68" customWidth="1"/>
    <col min="5130" max="5377" width="11.42578125" style="68"/>
    <col min="5378" max="5378" width="4.5703125" style="68" customWidth="1"/>
    <col min="5379" max="5379" width="25.140625" style="68" customWidth="1"/>
    <col min="5380" max="5384" width="11.42578125" style="68"/>
    <col min="5385" max="5385" width="27" style="68" customWidth="1"/>
    <col min="5386" max="5633" width="11.42578125" style="68"/>
    <col min="5634" max="5634" width="4.5703125" style="68" customWidth="1"/>
    <col min="5635" max="5635" width="25.140625" style="68" customWidth="1"/>
    <col min="5636" max="5640" width="11.42578125" style="68"/>
    <col min="5641" max="5641" width="27" style="68" customWidth="1"/>
    <col min="5642" max="5889" width="11.42578125" style="68"/>
    <col min="5890" max="5890" width="4.5703125" style="68" customWidth="1"/>
    <col min="5891" max="5891" width="25.140625" style="68" customWidth="1"/>
    <col min="5892" max="5896" width="11.42578125" style="68"/>
    <col min="5897" max="5897" width="27" style="68" customWidth="1"/>
    <col min="5898" max="6145" width="11.42578125" style="68"/>
    <col min="6146" max="6146" width="4.5703125" style="68" customWidth="1"/>
    <col min="6147" max="6147" width="25.140625" style="68" customWidth="1"/>
    <col min="6148" max="6152" width="11.42578125" style="68"/>
    <col min="6153" max="6153" width="27" style="68" customWidth="1"/>
    <col min="6154" max="6401" width="11.42578125" style="68"/>
    <col min="6402" max="6402" width="4.5703125" style="68" customWidth="1"/>
    <col min="6403" max="6403" width="25.140625" style="68" customWidth="1"/>
    <col min="6404" max="6408" width="11.42578125" style="68"/>
    <col min="6409" max="6409" width="27" style="68" customWidth="1"/>
    <col min="6410" max="6657" width="11.42578125" style="68"/>
    <col min="6658" max="6658" width="4.5703125" style="68" customWidth="1"/>
    <col min="6659" max="6659" width="25.140625" style="68" customWidth="1"/>
    <col min="6660" max="6664" width="11.42578125" style="68"/>
    <col min="6665" max="6665" width="27" style="68" customWidth="1"/>
    <col min="6666" max="6913" width="11.42578125" style="68"/>
    <col min="6914" max="6914" width="4.5703125" style="68" customWidth="1"/>
    <col min="6915" max="6915" width="25.140625" style="68" customWidth="1"/>
    <col min="6916" max="6920" width="11.42578125" style="68"/>
    <col min="6921" max="6921" width="27" style="68" customWidth="1"/>
    <col min="6922" max="7169" width="11.42578125" style="68"/>
    <col min="7170" max="7170" width="4.5703125" style="68" customWidth="1"/>
    <col min="7171" max="7171" width="25.140625" style="68" customWidth="1"/>
    <col min="7172" max="7176" width="11.42578125" style="68"/>
    <col min="7177" max="7177" width="27" style="68" customWidth="1"/>
    <col min="7178" max="7425" width="11.42578125" style="68"/>
    <col min="7426" max="7426" width="4.5703125" style="68" customWidth="1"/>
    <col min="7427" max="7427" width="25.140625" style="68" customWidth="1"/>
    <col min="7428" max="7432" width="11.42578125" style="68"/>
    <col min="7433" max="7433" width="27" style="68" customWidth="1"/>
    <col min="7434" max="7681" width="11.42578125" style="68"/>
    <col min="7682" max="7682" width="4.5703125" style="68" customWidth="1"/>
    <col min="7683" max="7683" width="25.140625" style="68" customWidth="1"/>
    <col min="7684" max="7688" width="11.42578125" style="68"/>
    <col min="7689" max="7689" width="27" style="68" customWidth="1"/>
    <col min="7690" max="7937" width="11.42578125" style="68"/>
    <col min="7938" max="7938" width="4.5703125" style="68" customWidth="1"/>
    <col min="7939" max="7939" width="25.140625" style="68" customWidth="1"/>
    <col min="7940" max="7944" width="11.42578125" style="68"/>
    <col min="7945" max="7945" width="27" style="68" customWidth="1"/>
    <col min="7946" max="8193" width="11.42578125" style="68"/>
    <col min="8194" max="8194" width="4.5703125" style="68" customWidth="1"/>
    <col min="8195" max="8195" width="25.140625" style="68" customWidth="1"/>
    <col min="8196" max="8200" width="11.42578125" style="68"/>
    <col min="8201" max="8201" width="27" style="68" customWidth="1"/>
    <col min="8202" max="8449" width="11.42578125" style="68"/>
    <col min="8450" max="8450" width="4.5703125" style="68" customWidth="1"/>
    <col min="8451" max="8451" width="25.140625" style="68" customWidth="1"/>
    <col min="8452" max="8456" width="11.42578125" style="68"/>
    <col min="8457" max="8457" width="27" style="68" customWidth="1"/>
    <col min="8458" max="8705" width="11.42578125" style="68"/>
    <col min="8706" max="8706" width="4.5703125" style="68" customWidth="1"/>
    <col min="8707" max="8707" width="25.140625" style="68" customWidth="1"/>
    <col min="8708" max="8712" width="11.42578125" style="68"/>
    <col min="8713" max="8713" width="27" style="68" customWidth="1"/>
    <col min="8714" max="8961" width="11.42578125" style="68"/>
    <col min="8962" max="8962" width="4.5703125" style="68" customWidth="1"/>
    <col min="8963" max="8963" width="25.140625" style="68" customWidth="1"/>
    <col min="8964" max="8968" width="11.42578125" style="68"/>
    <col min="8969" max="8969" width="27" style="68" customWidth="1"/>
    <col min="8970" max="9217" width="11.42578125" style="68"/>
    <col min="9218" max="9218" width="4.5703125" style="68" customWidth="1"/>
    <col min="9219" max="9219" width="25.140625" style="68" customWidth="1"/>
    <col min="9220" max="9224" width="11.42578125" style="68"/>
    <col min="9225" max="9225" width="27" style="68" customWidth="1"/>
    <col min="9226" max="9473" width="11.42578125" style="68"/>
    <col min="9474" max="9474" width="4.5703125" style="68" customWidth="1"/>
    <col min="9475" max="9475" width="25.140625" style="68" customWidth="1"/>
    <col min="9476" max="9480" width="11.42578125" style="68"/>
    <col min="9481" max="9481" width="27" style="68" customWidth="1"/>
    <col min="9482" max="9729" width="11.42578125" style="68"/>
    <col min="9730" max="9730" width="4.5703125" style="68" customWidth="1"/>
    <col min="9731" max="9731" width="25.140625" style="68" customWidth="1"/>
    <col min="9732" max="9736" width="11.42578125" style="68"/>
    <col min="9737" max="9737" width="27" style="68" customWidth="1"/>
    <col min="9738" max="9985" width="11.42578125" style="68"/>
    <col min="9986" max="9986" width="4.5703125" style="68" customWidth="1"/>
    <col min="9987" max="9987" width="25.140625" style="68" customWidth="1"/>
    <col min="9988" max="9992" width="11.42578125" style="68"/>
    <col min="9993" max="9993" width="27" style="68" customWidth="1"/>
    <col min="9994" max="10241" width="11.42578125" style="68"/>
    <col min="10242" max="10242" width="4.5703125" style="68" customWidth="1"/>
    <col min="10243" max="10243" width="25.140625" style="68" customWidth="1"/>
    <col min="10244" max="10248" width="11.42578125" style="68"/>
    <col min="10249" max="10249" width="27" style="68" customWidth="1"/>
    <col min="10250" max="10497" width="11.42578125" style="68"/>
    <col min="10498" max="10498" width="4.5703125" style="68" customWidth="1"/>
    <col min="10499" max="10499" width="25.140625" style="68" customWidth="1"/>
    <col min="10500" max="10504" width="11.42578125" style="68"/>
    <col min="10505" max="10505" width="27" style="68" customWidth="1"/>
    <col min="10506" max="10753" width="11.42578125" style="68"/>
    <col min="10754" max="10754" width="4.5703125" style="68" customWidth="1"/>
    <col min="10755" max="10755" width="25.140625" style="68" customWidth="1"/>
    <col min="10756" max="10760" width="11.42578125" style="68"/>
    <col min="10761" max="10761" width="27" style="68" customWidth="1"/>
    <col min="10762" max="11009" width="11.42578125" style="68"/>
    <col min="11010" max="11010" width="4.5703125" style="68" customWidth="1"/>
    <col min="11011" max="11011" width="25.140625" style="68" customWidth="1"/>
    <col min="11012" max="11016" width="11.42578125" style="68"/>
    <col min="11017" max="11017" width="27" style="68" customWidth="1"/>
    <col min="11018" max="11265" width="11.42578125" style="68"/>
    <col min="11266" max="11266" width="4.5703125" style="68" customWidth="1"/>
    <col min="11267" max="11267" width="25.140625" style="68" customWidth="1"/>
    <col min="11268" max="11272" width="11.42578125" style="68"/>
    <col min="11273" max="11273" width="27" style="68" customWidth="1"/>
    <col min="11274" max="11521" width="11.42578125" style="68"/>
    <col min="11522" max="11522" width="4.5703125" style="68" customWidth="1"/>
    <col min="11523" max="11523" width="25.140625" style="68" customWidth="1"/>
    <col min="11524" max="11528" width="11.42578125" style="68"/>
    <col min="11529" max="11529" width="27" style="68" customWidth="1"/>
    <col min="11530" max="11777" width="11.42578125" style="68"/>
    <col min="11778" max="11778" width="4.5703125" style="68" customWidth="1"/>
    <col min="11779" max="11779" width="25.140625" style="68" customWidth="1"/>
    <col min="11780" max="11784" width="11.42578125" style="68"/>
    <col min="11785" max="11785" width="27" style="68" customWidth="1"/>
    <col min="11786" max="12033" width="11.42578125" style="68"/>
    <col min="12034" max="12034" width="4.5703125" style="68" customWidth="1"/>
    <col min="12035" max="12035" width="25.140625" style="68" customWidth="1"/>
    <col min="12036" max="12040" width="11.42578125" style="68"/>
    <col min="12041" max="12041" width="27" style="68" customWidth="1"/>
    <col min="12042" max="12289" width="11.42578125" style="68"/>
    <col min="12290" max="12290" width="4.5703125" style="68" customWidth="1"/>
    <col min="12291" max="12291" width="25.140625" style="68" customWidth="1"/>
    <col min="12292" max="12296" width="11.42578125" style="68"/>
    <col min="12297" max="12297" width="27" style="68" customWidth="1"/>
    <col min="12298" max="12545" width="11.42578125" style="68"/>
    <col min="12546" max="12546" width="4.5703125" style="68" customWidth="1"/>
    <col min="12547" max="12547" width="25.140625" style="68" customWidth="1"/>
    <col min="12548" max="12552" width="11.42578125" style="68"/>
    <col min="12553" max="12553" width="27" style="68" customWidth="1"/>
    <col min="12554" max="12801" width="11.42578125" style="68"/>
    <col min="12802" max="12802" width="4.5703125" style="68" customWidth="1"/>
    <col min="12803" max="12803" width="25.140625" style="68" customWidth="1"/>
    <col min="12804" max="12808" width="11.42578125" style="68"/>
    <col min="12809" max="12809" width="27" style="68" customWidth="1"/>
    <col min="12810" max="13057" width="11.42578125" style="68"/>
    <col min="13058" max="13058" width="4.5703125" style="68" customWidth="1"/>
    <col min="13059" max="13059" width="25.140625" style="68" customWidth="1"/>
    <col min="13060" max="13064" width="11.42578125" style="68"/>
    <col min="13065" max="13065" width="27" style="68" customWidth="1"/>
    <col min="13066" max="13313" width="11.42578125" style="68"/>
    <col min="13314" max="13314" width="4.5703125" style="68" customWidth="1"/>
    <col min="13315" max="13315" width="25.140625" style="68" customWidth="1"/>
    <col min="13316" max="13320" width="11.42578125" style="68"/>
    <col min="13321" max="13321" width="27" style="68" customWidth="1"/>
    <col min="13322" max="13569" width="11.42578125" style="68"/>
    <col min="13570" max="13570" width="4.5703125" style="68" customWidth="1"/>
    <col min="13571" max="13571" width="25.140625" style="68" customWidth="1"/>
    <col min="13572" max="13576" width="11.42578125" style="68"/>
    <col min="13577" max="13577" width="27" style="68" customWidth="1"/>
    <col min="13578" max="13825" width="11.42578125" style="68"/>
    <col min="13826" max="13826" width="4.5703125" style="68" customWidth="1"/>
    <col min="13827" max="13827" width="25.140625" style="68" customWidth="1"/>
    <col min="13828" max="13832" width="11.42578125" style="68"/>
    <col min="13833" max="13833" width="27" style="68" customWidth="1"/>
    <col min="13834" max="14081" width="11.42578125" style="68"/>
    <col min="14082" max="14082" width="4.5703125" style="68" customWidth="1"/>
    <col min="14083" max="14083" width="25.140625" style="68" customWidth="1"/>
    <col min="14084" max="14088" width="11.42578125" style="68"/>
    <col min="14089" max="14089" width="27" style="68" customWidth="1"/>
    <col min="14090" max="14337" width="11.42578125" style="68"/>
    <col min="14338" max="14338" width="4.5703125" style="68" customWidth="1"/>
    <col min="14339" max="14339" width="25.140625" style="68" customWidth="1"/>
    <col min="14340" max="14344" width="11.42578125" style="68"/>
    <col min="14345" max="14345" width="27" style="68" customWidth="1"/>
    <col min="14346" max="14593" width="11.42578125" style="68"/>
    <col min="14594" max="14594" width="4.5703125" style="68" customWidth="1"/>
    <col min="14595" max="14595" width="25.140625" style="68" customWidth="1"/>
    <col min="14596" max="14600" width="11.42578125" style="68"/>
    <col min="14601" max="14601" width="27" style="68" customWidth="1"/>
    <col min="14602" max="14849" width="11.42578125" style="68"/>
    <col min="14850" max="14850" width="4.5703125" style="68" customWidth="1"/>
    <col min="14851" max="14851" width="25.140625" style="68" customWidth="1"/>
    <col min="14852" max="14856" width="11.42578125" style="68"/>
    <col min="14857" max="14857" width="27" style="68" customWidth="1"/>
    <col min="14858" max="15105" width="11.42578125" style="68"/>
    <col min="15106" max="15106" width="4.5703125" style="68" customWidth="1"/>
    <col min="15107" max="15107" width="25.140625" style="68" customWidth="1"/>
    <col min="15108" max="15112" width="11.42578125" style="68"/>
    <col min="15113" max="15113" width="27" style="68" customWidth="1"/>
    <col min="15114" max="15361" width="11.42578125" style="68"/>
    <col min="15362" max="15362" width="4.5703125" style="68" customWidth="1"/>
    <col min="15363" max="15363" width="25.140625" style="68" customWidth="1"/>
    <col min="15364" max="15368" width="11.42578125" style="68"/>
    <col min="15369" max="15369" width="27" style="68" customWidth="1"/>
    <col min="15370" max="15617" width="11.42578125" style="68"/>
    <col min="15618" max="15618" width="4.5703125" style="68" customWidth="1"/>
    <col min="15619" max="15619" width="25.140625" style="68" customWidth="1"/>
    <col min="15620" max="15624" width="11.42578125" style="68"/>
    <col min="15625" max="15625" width="27" style="68" customWidth="1"/>
    <col min="15626" max="15873" width="11.42578125" style="68"/>
    <col min="15874" max="15874" width="4.5703125" style="68" customWidth="1"/>
    <col min="15875" max="15875" width="25.140625" style="68" customWidth="1"/>
    <col min="15876" max="15880" width="11.42578125" style="68"/>
    <col min="15881" max="15881" width="27" style="68" customWidth="1"/>
    <col min="15882" max="16129" width="11.42578125" style="68"/>
    <col min="16130" max="16130" width="4.5703125" style="68" customWidth="1"/>
    <col min="16131" max="16131" width="25.140625" style="68" customWidth="1"/>
    <col min="16132" max="16136" width="11.42578125" style="68"/>
    <col min="16137" max="16137" width="27" style="68" customWidth="1"/>
    <col min="16138" max="16384" width="11.42578125" style="68"/>
  </cols>
  <sheetData>
    <row r="1" spans="1:11" ht="47.25" customHeight="1" x14ac:dyDescent="0.25">
      <c r="A1" s="373" t="s">
        <v>266</v>
      </c>
      <c r="B1" s="373"/>
      <c r="C1" s="373"/>
      <c r="D1" s="373"/>
      <c r="E1" s="373"/>
      <c r="F1" s="373"/>
      <c r="G1" s="373"/>
      <c r="H1" s="373"/>
      <c r="I1" s="373"/>
      <c r="J1" s="185"/>
      <c r="K1" s="185"/>
    </row>
    <row r="2" spans="1:11" x14ac:dyDescent="0.2">
      <c r="A2" s="108"/>
      <c r="B2" s="108"/>
      <c r="C2" s="108"/>
      <c r="D2" s="108"/>
      <c r="E2" s="108"/>
      <c r="F2" s="108"/>
      <c r="G2" s="108"/>
      <c r="H2" s="108"/>
      <c r="I2" s="108"/>
    </row>
    <row r="3" spans="1:11" x14ac:dyDescent="0.2">
      <c r="A3" s="108"/>
      <c r="B3" s="108"/>
      <c r="C3" s="108"/>
      <c r="D3" s="108"/>
      <c r="E3" s="108"/>
      <c r="F3" s="108"/>
      <c r="G3" s="108"/>
      <c r="H3" s="108"/>
      <c r="I3" s="108"/>
      <c r="J3" s="108"/>
    </row>
    <row r="4" spans="1:11" ht="15" customHeight="1" x14ac:dyDescent="0.25">
      <c r="A4" s="376" t="s">
        <v>267</v>
      </c>
      <c r="B4" s="376"/>
      <c r="C4" s="376"/>
      <c r="D4" s="376"/>
      <c r="E4" s="376"/>
      <c r="F4" s="376"/>
      <c r="G4" s="376"/>
      <c r="H4" s="376"/>
      <c r="I4" s="376"/>
      <c r="J4" s="108"/>
    </row>
    <row r="5" spans="1:11" ht="14.25" x14ac:dyDescent="0.2">
      <c r="A5" s="136"/>
      <c r="B5" s="136"/>
      <c r="C5" s="136"/>
      <c r="D5" s="136"/>
      <c r="E5" s="136"/>
      <c r="F5" s="136"/>
      <c r="G5" s="136"/>
      <c r="H5" s="136"/>
      <c r="I5" s="136"/>
      <c r="J5" s="108"/>
    </row>
    <row r="6" spans="1:11" ht="14.25" x14ac:dyDescent="0.2">
      <c r="A6" s="136"/>
      <c r="B6" s="136"/>
      <c r="C6" s="136" t="s">
        <v>268</v>
      </c>
      <c r="D6" s="136"/>
      <c r="E6" s="136"/>
      <c r="F6" s="136"/>
      <c r="G6" s="136"/>
      <c r="H6" s="186" t="s">
        <v>269</v>
      </c>
      <c r="I6" s="136"/>
      <c r="J6" s="108"/>
    </row>
    <row r="7" spans="1:11" ht="5.25" customHeight="1" x14ac:dyDescent="0.2">
      <c r="A7" s="136"/>
      <c r="B7" s="136"/>
      <c r="C7" s="136"/>
      <c r="D7" s="136"/>
      <c r="E7" s="136"/>
      <c r="F7" s="136"/>
      <c r="G7" s="136"/>
      <c r="H7" s="136"/>
      <c r="I7" s="136"/>
      <c r="J7" s="108"/>
    </row>
    <row r="8" spans="1:11" ht="14.25" x14ac:dyDescent="0.2">
      <c r="A8" s="136"/>
      <c r="B8" s="136"/>
      <c r="C8" s="136" t="s">
        <v>120</v>
      </c>
      <c r="D8" s="136"/>
      <c r="E8" s="194">
        <v>300</v>
      </c>
      <c r="F8" s="136" t="s">
        <v>82</v>
      </c>
      <c r="G8" s="136"/>
      <c r="H8" s="136"/>
      <c r="I8" s="136"/>
      <c r="J8" s="108"/>
    </row>
    <row r="9" spans="1:11" ht="15" customHeight="1" x14ac:dyDescent="0.2">
      <c r="A9" s="136"/>
      <c r="B9" s="136"/>
      <c r="C9" s="191" t="s">
        <v>269</v>
      </c>
      <c r="D9" s="136"/>
      <c r="E9" s="192">
        <f>Retrofit!F2</f>
        <v>300</v>
      </c>
      <c r="F9" s="136" t="s">
        <v>270</v>
      </c>
      <c r="G9" s="136"/>
      <c r="H9" s="136"/>
      <c r="I9" s="136"/>
      <c r="J9" s="108"/>
    </row>
    <row r="10" spans="1:11" ht="9.75" customHeight="1" x14ac:dyDescent="0.2">
      <c r="A10" s="136"/>
      <c r="B10" s="136"/>
      <c r="C10" s="186"/>
      <c r="D10" s="136"/>
      <c r="E10" s="187"/>
      <c r="F10" s="136"/>
      <c r="G10" s="136"/>
      <c r="H10" s="136"/>
      <c r="I10" s="136"/>
      <c r="J10" s="108"/>
    </row>
    <row r="11" spans="1:11" ht="14.25" x14ac:dyDescent="0.2">
      <c r="A11" s="136"/>
      <c r="B11" s="136"/>
      <c r="C11" s="136" t="s">
        <v>227</v>
      </c>
      <c r="D11" s="136"/>
      <c r="E11" s="194">
        <v>12</v>
      </c>
      <c r="F11" s="136" t="s">
        <v>141</v>
      </c>
      <c r="G11" s="136"/>
      <c r="H11" s="136"/>
      <c r="I11" s="136"/>
      <c r="J11" s="108"/>
    </row>
    <row r="12" spans="1:11" ht="5.25" customHeight="1" x14ac:dyDescent="0.25">
      <c r="A12" s="136"/>
      <c r="B12" s="136"/>
      <c r="C12" s="136"/>
      <c r="D12" s="141"/>
      <c r="E12" s="138"/>
      <c r="F12" s="141"/>
      <c r="G12" s="136"/>
      <c r="H12" s="136"/>
      <c r="I12" s="136"/>
      <c r="J12" s="108"/>
    </row>
    <row r="13" spans="1:11" ht="14.25" x14ac:dyDescent="0.2">
      <c r="A13" s="136"/>
      <c r="B13" s="136"/>
      <c r="C13" s="136"/>
      <c r="D13" s="136"/>
      <c r="E13" s="194">
        <v>300</v>
      </c>
      <c r="F13" s="136" t="s">
        <v>143</v>
      </c>
      <c r="G13" s="136"/>
      <c r="H13" s="136"/>
      <c r="I13" s="136"/>
      <c r="J13" s="108"/>
    </row>
    <row r="14" spans="1:11" ht="14.25" x14ac:dyDescent="0.2">
      <c r="A14" s="136"/>
      <c r="B14" s="136"/>
      <c r="C14" s="136"/>
      <c r="D14" s="136"/>
      <c r="E14" s="136"/>
      <c r="G14" s="136"/>
      <c r="H14" s="136"/>
      <c r="I14" s="136"/>
      <c r="J14" s="108"/>
    </row>
    <row r="15" spans="1:11" ht="14.25" x14ac:dyDescent="0.2">
      <c r="A15" s="136"/>
      <c r="B15" s="136"/>
      <c r="C15" s="136" t="s">
        <v>271</v>
      </c>
      <c r="D15" s="136" t="s">
        <v>272</v>
      </c>
      <c r="E15" s="194">
        <v>15</v>
      </c>
      <c r="F15" s="136" t="s">
        <v>83</v>
      </c>
      <c r="G15" s="136"/>
      <c r="H15" s="136"/>
      <c r="I15" s="136"/>
      <c r="J15" s="108"/>
    </row>
    <row r="16" spans="1:11" ht="4.5" customHeight="1" x14ac:dyDescent="0.2">
      <c r="A16" s="136"/>
      <c r="B16" s="136"/>
      <c r="C16" s="136"/>
      <c r="D16" s="136"/>
      <c r="E16" s="193"/>
      <c r="F16" s="136"/>
      <c r="G16" s="136"/>
      <c r="H16" s="136"/>
      <c r="I16" s="136"/>
      <c r="J16" s="108"/>
    </row>
    <row r="17" spans="1:10" ht="14.25" x14ac:dyDescent="0.2">
      <c r="A17" s="136"/>
      <c r="B17" s="136"/>
      <c r="C17" s="136"/>
      <c r="D17" s="136" t="s">
        <v>273</v>
      </c>
      <c r="E17" s="194">
        <v>5</v>
      </c>
      <c r="F17" s="136" t="s">
        <v>83</v>
      </c>
      <c r="G17" s="136"/>
      <c r="H17" s="136"/>
      <c r="I17" s="136"/>
      <c r="J17" s="108"/>
    </row>
    <row r="18" spans="1:10" ht="14.25" x14ac:dyDescent="0.2">
      <c r="A18" s="136"/>
      <c r="B18" s="136"/>
      <c r="C18" s="136"/>
      <c r="D18" s="136"/>
      <c r="E18" s="136"/>
      <c r="F18" s="136"/>
      <c r="G18" s="136"/>
      <c r="H18" s="136"/>
      <c r="I18" s="136"/>
      <c r="J18" s="108"/>
    </row>
    <row r="19" spans="1:10" ht="17.25" customHeight="1" x14ac:dyDescent="0.2">
      <c r="A19" s="371" t="s">
        <v>274</v>
      </c>
      <c r="B19" s="371"/>
      <c r="C19" s="371"/>
      <c r="D19" s="371"/>
      <c r="E19" s="371"/>
      <c r="F19" s="371"/>
      <c r="G19" s="371"/>
      <c r="H19" s="371"/>
      <c r="I19" s="371"/>
      <c r="J19" s="108"/>
    </row>
    <row r="20" spans="1:10" ht="14.25" x14ac:dyDescent="0.2">
      <c r="A20" s="136"/>
      <c r="B20" s="136"/>
      <c r="C20" s="136"/>
      <c r="D20" s="136"/>
      <c r="E20" s="136"/>
      <c r="F20" s="136"/>
      <c r="G20" s="136"/>
      <c r="H20" s="136"/>
      <c r="I20" s="136"/>
      <c r="J20" s="108"/>
    </row>
    <row r="21" spans="1:10" ht="14.25" x14ac:dyDescent="0.2">
      <c r="A21" s="136"/>
      <c r="B21" s="136"/>
      <c r="C21" s="136" t="s">
        <v>46</v>
      </c>
      <c r="D21" s="136"/>
      <c r="E21" s="136"/>
      <c r="F21" s="136"/>
      <c r="G21" s="136"/>
      <c r="H21" s="136"/>
      <c r="I21" s="136"/>
      <c r="J21" s="108"/>
    </row>
    <row r="22" spans="1:10" ht="6.75" customHeight="1" x14ac:dyDescent="0.2">
      <c r="A22" s="136"/>
      <c r="B22" s="136"/>
      <c r="C22" s="136"/>
      <c r="D22" s="136"/>
      <c r="E22" s="136"/>
      <c r="F22" s="136"/>
      <c r="G22" s="136"/>
      <c r="H22" s="136"/>
      <c r="I22" s="136"/>
      <c r="J22" s="108"/>
    </row>
    <row r="23" spans="1:10" ht="14.25" x14ac:dyDescent="0.2">
      <c r="A23" s="136"/>
      <c r="B23" s="136"/>
      <c r="C23" s="136" t="s">
        <v>49</v>
      </c>
      <c r="D23" s="136"/>
      <c r="E23" s="136"/>
      <c r="F23" s="136"/>
      <c r="G23" s="136"/>
      <c r="H23" s="136"/>
      <c r="I23" s="136"/>
      <c r="J23" s="108"/>
    </row>
    <row r="24" spans="1:10" ht="10.5" customHeight="1" x14ac:dyDescent="0.2">
      <c r="A24" s="136"/>
      <c r="B24" s="136"/>
      <c r="C24" s="136"/>
      <c r="D24" s="136"/>
      <c r="E24" s="136"/>
      <c r="F24" s="136"/>
      <c r="G24" s="136"/>
      <c r="H24" s="136"/>
      <c r="I24" s="136"/>
      <c r="J24" s="108"/>
    </row>
    <row r="25" spans="1:10" ht="14.25" x14ac:dyDescent="0.2">
      <c r="A25" s="136"/>
      <c r="B25" s="136"/>
      <c r="C25" s="136" t="s">
        <v>45</v>
      </c>
      <c r="D25" s="136"/>
      <c r="E25" s="194">
        <v>20</v>
      </c>
      <c r="F25" s="136" t="s">
        <v>276</v>
      </c>
      <c r="G25" s="136"/>
      <c r="H25" s="136"/>
      <c r="I25" s="136"/>
      <c r="J25" s="108"/>
    </row>
    <row r="26" spans="1:10" ht="3.75" customHeight="1" x14ac:dyDescent="0.2">
      <c r="A26" s="136"/>
      <c r="B26" s="136"/>
      <c r="C26" s="136"/>
      <c r="D26" s="136"/>
      <c r="E26" s="165">
        <v>6</v>
      </c>
      <c r="F26" s="136"/>
      <c r="G26" s="136"/>
      <c r="H26" s="136"/>
      <c r="I26" s="136"/>
      <c r="J26" s="108"/>
    </row>
    <row r="27" spans="1:10" ht="14.25" x14ac:dyDescent="0.2">
      <c r="A27" s="136"/>
      <c r="B27" s="136"/>
      <c r="C27" s="136" t="s">
        <v>275</v>
      </c>
      <c r="D27" s="136"/>
      <c r="E27" s="194">
        <v>1</v>
      </c>
      <c r="F27" s="136" t="s">
        <v>277</v>
      </c>
      <c r="G27" s="136"/>
      <c r="H27" s="136"/>
      <c r="I27" s="136"/>
      <c r="J27" s="108"/>
    </row>
    <row r="28" spans="1:10" ht="4.5" customHeight="1" x14ac:dyDescent="0.2">
      <c r="A28" s="136"/>
      <c r="B28" s="136"/>
      <c r="C28" s="136"/>
      <c r="D28" s="136"/>
      <c r="E28" s="165"/>
      <c r="F28" s="136"/>
      <c r="G28" s="136"/>
      <c r="H28" s="136"/>
      <c r="I28" s="136"/>
      <c r="J28" s="108"/>
    </row>
    <row r="29" spans="1:10" ht="14.25" x14ac:dyDescent="0.2">
      <c r="A29" s="136"/>
      <c r="B29" s="136"/>
      <c r="C29" s="136" t="s">
        <v>278</v>
      </c>
      <c r="D29" s="136"/>
      <c r="E29" s="194">
        <v>32</v>
      </c>
      <c r="F29" s="136" t="s">
        <v>84</v>
      </c>
      <c r="G29" s="136"/>
      <c r="H29" s="136"/>
      <c r="I29" s="136"/>
      <c r="J29" s="108"/>
    </row>
    <row r="30" spans="1:10" ht="14.25" x14ac:dyDescent="0.2">
      <c r="A30" s="136"/>
      <c r="B30" s="136"/>
      <c r="C30" s="136"/>
      <c r="D30" s="136"/>
      <c r="E30" s="165"/>
      <c r="F30" s="136"/>
      <c r="G30" s="136"/>
      <c r="H30" s="136"/>
      <c r="I30" s="136"/>
      <c r="J30" s="108"/>
    </row>
    <row r="31" spans="1:10" ht="15" x14ac:dyDescent="0.25">
      <c r="A31" s="376" t="s">
        <v>279</v>
      </c>
      <c r="B31" s="376"/>
      <c r="C31" s="376"/>
      <c r="D31" s="376"/>
      <c r="E31" s="376"/>
      <c r="F31" s="376"/>
      <c r="G31" s="376"/>
      <c r="H31" s="376"/>
      <c r="I31" s="376"/>
      <c r="J31" s="108"/>
    </row>
    <row r="32" spans="1:10" ht="6" customHeight="1" x14ac:dyDescent="0.2">
      <c r="A32" s="136"/>
      <c r="B32" s="136"/>
      <c r="C32" s="136"/>
      <c r="D32" s="136"/>
      <c r="E32" s="165"/>
      <c r="F32" s="136"/>
      <c r="G32" s="136"/>
      <c r="H32" s="136"/>
      <c r="I32" s="136"/>
      <c r="J32" s="108"/>
    </row>
    <row r="33" spans="1:10" ht="14.25" x14ac:dyDescent="0.2">
      <c r="A33" s="136"/>
      <c r="B33" s="136"/>
      <c r="C33" s="136" t="s">
        <v>282</v>
      </c>
      <c r="D33" s="136"/>
      <c r="E33" s="194">
        <v>2</v>
      </c>
      <c r="F33" s="136" t="s">
        <v>220</v>
      </c>
      <c r="G33" s="136"/>
      <c r="H33" s="136"/>
      <c r="I33" s="136"/>
      <c r="J33" s="108"/>
    </row>
    <row r="34" spans="1:10" ht="6" customHeight="1" x14ac:dyDescent="0.25">
      <c r="A34" s="136"/>
      <c r="B34" s="136"/>
      <c r="C34" s="136"/>
      <c r="D34" s="136"/>
      <c r="E34" s="138"/>
      <c r="F34" s="136"/>
      <c r="G34" s="136"/>
      <c r="H34" s="136"/>
      <c r="I34" s="136"/>
      <c r="J34" s="108"/>
    </row>
    <row r="35" spans="1:10" ht="27" customHeight="1" x14ac:dyDescent="0.2">
      <c r="A35" s="136"/>
      <c r="B35" s="136"/>
      <c r="C35" s="348" t="s">
        <v>345</v>
      </c>
      <c r="D35" s="348"/>
      <c r="E35" s="348"/>
      <c r="F35" s="348"/>
      <c r="G35" s="348"/>
      <c r="H35" s="348"/>
      <c r="I35" s="348"/>
      <c r="J35" s="108"/>
    </row>
    <row r="36" spans="1:10" ht="14.25" x14ac:dyDescent="0.2">
      <c r="A36" s="136"/>
      <c r="B36" s="136"/>
      <c r="C36" s="136"/>
      <c r="D36" s="136"/>
      <c r="E36" s="188"/>
      <c r="F36" s="136"/>
      <c r="G36" s="136"/>
      <c r="H36" s="136"/>
      <c r="I36" s="136"/>
      <c r="J36" s="108"/>
    </row>
    <row r="37" spans="1:10" ht="15" x14ac:dyDescent="0.25">
      <c r="A37" s="376" t="s">
        <v>238</v>
      </c>
      <c r="B37" s="376"/>
      <c r="C37" s="376"/>
      <c r="D37" s="376"/>
      <c r="E37" s="376"/>
      <c r="F37" s="376"/>
      <c r="G37" s="376"/>
      <c r="H37" s="376"/>
      <c r="I37" s="376"/>
      <c r="J37" s="108"/>
    </row>
    <row r="38" spans="1:10" ht="6" customHeight="1" x14ac:dyDescent="0.2">
      <c r="A38" s="136"/>
      <c r="B38" s="136"/>
      <c r="C38" s="136"/>
      <c r="D38" s="136"/>
      <c r="E38" s="165"/>
      <c r="F38" s="136"/>
      <c r="G38" s="136"/>
      <c r="H38" s="136"/>
      <c r="I38" s="136"/>
      <c r="J38" s="108"/>
    </row>
    <row r="39" spans="1:10" ht="15" x14ac:dyDescent="0.25">
      <c r="A39" s="141"/>
      <c r="B39" s="141"/>
      <c r="C39" s="141"/>
      <c r="D39" s="141"/>
      <c r="E39" s="166" t="s">
        <v>223</v>
      </c>
      <c r="F39" s="141"/>
      <c r="G39" s="166" t="s">
        <v>224</v>
      </c>
      <c r="H39" s="141"/>
      <c r="I39" s="141"/>
      <c r="J39" s="108"/>
    </row>
    <row r="40" spans="1:10" ht="1.5" customHeight="1" x14ac:dyDescent="0.2">
      <c r="A40" s="141"/>
      <c r="B40" s="141"/>
      <c r="C40" s="141"/>
      <c r="D40" s="141"/>
      <c r="E40" s="167"/>
      <c r="F40" s="141"/>
      <c r="G40" s="141"/>
      <c r="H40" s="141"/>
      <c r="I40" s="141"/>
      <c r="J40" s="108"/>
    </row>
    <row r="41" spans="1:10" ht="15" x14ac:dyDescent="0.25">
      <c r="A41" s="141"/>
      <c r="B41" s="141"/>
      <c r="C41" s="141" t="s">
        <v>280</v>
      </c>
      <c r="D41" s="141"/>
      <c r="E41" s="190">
        <f>IF(Retrofit!D28=1,'5. MAE Retrofit'!E25*'5. MAE Retrofit'!E27*E29,IF(AND(Retrofit!D28=2,Retrofit!D16&lt;7,Retrofit!D16&gt;2),'5. MAE Retrofit'!E25*'5. MAE Retrofit'!E27*'5. MAE Retrofit'!E29*1.2,'5. MAE Retrofit'!E25*'5. MAE Retrofit'!E27*'5. MAE Retrofit'!E29*1.1))</f>
        <v>768</v>
      </c>
      <c r="F41" s="167" t="s">
        <v>84</v>
      </c>
      <c r="G41" s="190">
        <f>G43*E15*E17</f>
        <v>450</v>
      </c>
      <c r="H41" s="141"/>
      <c r="I41" s="141"/>
      <c r="J41" s="108"/>
    </row>
    <row r="42" spans="1:10" ht="5.25" customHeight="1" x14ac:dyDescent="0.2">
      <c r="A42" s="141"/>
      <c r="B42" s="141"/>
      <c r="C42" s="141"/>
      <c r="D42" s="141"/>
      <c r="E42" s="167"/>
      <c r="F42" s="167"/>
      <c r="G42" s="167"/>
      <c r="H42" s="141"/>
      <c r="I42" s="141"/>
      <c r="J42" s="108"/>
    </row>
    <row r="43" spans="1:10" ht="27.75" customHeight="1" x14ac:dyDescent="0.2">
      <c r="A43" s="141"/>
      <c r="B43" s="141"/>
      <c r="C43" s="197" t="s">
        <v>246</v>
      </c>
      <c r="D43" s="197"/>
      <c r="E43" s="198">
        <f>IF((E15+E17)=0,0,E41/E15/E17)</f>
        <v>10.24</v>
      </c>
      <c r="F43" s="199" t="s">
        <v>85</v>
      </c>
      <c r="G43" s="198">
        <f>INDEX(Retrofit!A2:H12,Retrofit!E2,8)*'5. MAE Retrofit'!E8/100</f>
        <v>6</v>
      </c>
      <c r="H43" s="377" t="str">
        <f>IF(INDEX(Retrofit!A2:I12,Retrofit!E2,9)=1,"(Considerando una solución con tecnología fluorescente)",IF(INDEX(Retrofit!A2:I12,Retrofit!E2,9)=2,"Considerando una solución con tecnología LED o fluorescente)",IF(INDEX(Retrofit!A2:I12,Retrofit!E2,9)=3,"(Considerando una solución con tecnología LED o fluocompacta",IF(INDEX(Retrofit!A2:I12,Retrofit!E2,9)=4,"(Considerando una solución con tecnología fluorescente o aditivos metálicos)",""))))</f>
        <v>(Considerando una solución con tecnología fluorescente)</v>
      </c>
      <c r="I43" s="377"/>
      <c r="J43" s="108"/>
    </row>
    <row r="44" spans="1:10" ht="3.75" customHeight="1" x14ac:dyDescent="0.2">
      <c r="A44" s="141"/>
      <c r="B44" s="141"/>
      <c r="C44" s="141"/>
      <c r="D44" s="141"/>
      <c r="E44" s="167"/>
      <c r="F44" s="141"/>
      <c r="G44" s="141"/>
      <c r="H44" s="141"/>
      <c r="I44" s="141"/>
      <c r="J44" s="108"/>
    </row>
    <row r="45" spans="1:10" ht="14.25" x14ac:dyDescent="0.2">
      <c r="A45" s="141"/>
      <c r="B45" s="141"/>
      <c r="C45" s="141" t="s">
        <v>283</v>
      </c>
      <c r="D45" s="141"/>
      <c r="E45" s="200">
        <f>E41*$E$11*$E$13/1000</f>
        <v>2764.8</v>
      </c>
      <c r="F45" s="167" t="s">
        <v>226</v>
      </c>
      <c r="G45" s="180">
        <f>G41*$E$11*$E$13/1000</f>
        <v>1620</v>
      </c>
      <c r="H45" s="141"/>
      <c r="I45" s="141"/>
      <c r="J45" s="108"/>
    </row>
    <row r="46" spans="1:10" ht="5.25" customHeight="1" x14ac:dyDescent="0.2">
      <c r="A46" s="141"/>
      <c r="B46" s="141"/>
      <c r="C46" s="141"/>
      <c r="D46" s="141"/>
      <c r="E46" s="197"/>
      <c r="F46" s="141"/>
      <c r="G46" s="141"/>
      <c r="H46" s="141"/>
      <c r="I46" s="141"/>
      <c r="J46" s="108"/>
    </row>
    <row r="47" spans="1:10" ht="14.25" x14ac:dyDescent="0.2">
      <c r="A47" s="141"/>
      <c r="B47" s="141"/>
      <c r="C47" s="141" t="s">
        <v>281</v>
      </c>
      <c r="D47" s="141"/>
      <c r="E47" s="205">
        <f>E45*$E$33</f>
        <v>5529.6</v>
      </c>
      <c r="F47" s="167" t="s">
        <v>225</v>
      </c>
      <c r="G47" s="205">
        <f>G45*$E$33</f>
        <v>3240</v>
      </c>
      <c r="H47" s="141"/>
      <c r="I47" s="141"/>
      <c r="J47" s="108"/>
    </row>
    <row r="48" spans="1:10" ht="6.75" customHeight="1" x14ac:dyDescent="0.2">
      <c r="A48" s="141"/>
      <c r="B48" s="141"/>
      <c r="C48" s="141"/>
      <c r="D48" s="141"/>
      <c r="E48" s="141"/>
      <c r="F48" s="141"/>
      <c r="G48" s="141"/>
      <c r="H48" s="141"/>
      <c r="I48" s="141"/>
      <c r="J48" s="108"/>
    </row>
    <row r="49" spans="1:10" ht="15" x14ac:dyDescent="0.25">
      <c r="A49" s="141"/>
      <c r="B49" s="141"/>
      <c r="C49" s="143" t="s">
        <v>284</v>
      </c>
      <c r="D49" s="141"/>
      <c r="E49" s="204">
        <f>IF(E45=0,"",F49/E45)</f>
        <v>0.41406250000000006</v>
      </c>
      <c r="F49" s="201">
        <f>E45-G45</f>
        <v>1144.8000000000002</v>
      </c>
      <c r="G49" s="202" t="s">
        <v>226</v>
      </c>
      <c r="H49" s="141"/>
      <c r="I49" s="141"/>
      <c r="J49" s="108"/>
    </row>
    <row r="50" spans="1:10" ht="1.5" customHeight="1" x14ac:dyDescent="0.2">
      <c r="A50" s="141"/>
      <c r="B50" s="141"/>
      <c r="C50" s="141"/>
      <c r="D50" s="141"/>
      <c r="E50" s="141"/>
      <c r="F50" s="141"/>
      <c r="G50" s="141"/>
      <c r="H50" s="141"/>
      <c r="I50" s="141"/>
      <c r="J50" s="108"/>
    </row>
    <row r="51" spans="1:10" ht="15" x14ac:dyDescent="0.25">
      <c r="A51" s="141"/>
      <c r="B51" s="141"/>
      <c r="C51" s="143" t="s">
        <v>233</v>
      </c>
      <c r="D51" s="141"/>
      <c r="E51" s="141"/>
      <c r="F51" s="206">
        <f>E47-G47</f>
        <v>2289.6000000000004</v>
      </c>
      <c r="G51" s="203" t="s">
        <v>225</v>
      </c>
      <c r="H51" s="141"/>
      <c r="I51" s="141"/>
      <c r="J51" s="108"/>
    </row>
    <row r="52" spans="1:10" ht="5.25" customHeight="1" x14ac:dyDescent="0.2">
      <c r="A52" s="141"/>
      <c r="B52" s="141"/>
      <c r="C52" s="141"/>
      <c r="D52" s="141"/>
      <c r="E52" s="141"/>
      <c r="F52" s="141"/>
      <c r="G52" s="141"/>
      <c r="H52" s="141"/>
      <c r="I52" s="141"/>
      <c r="J52" s="108"/>
    </row>
    <row r="53" spans="1:10" ht="14.25" x14ac:dyDescent="0.2">
      <c r="A53" s="141"/>
      <c r="B53" s="141"/>
      <c r="C53" s="141" t="s">
        <v>286</v>
      </c>
      <c r="D53" s="141"/>
      <c r="E53" s="141"/>
      <c r="F53" s="194">
        <v>5</v>
      </c>
      <c r="G53" s="167" t="s">
        <v>285</v>
      </c>
      <c r="H53" s="141"/>
      <c r="I53" s="141"/>
      <c r="J53" s="108"/>
    </row>
    <row r="54" spans="1:10" ht="6.75" customHeight="1" x14ac:dyDescent="0.2">
      <c r="A54" s="141"/>
      <c r="B54" s="141"/>
      <c r="C54" s="141"/>
      <c r="D54" s="141"/>
      <c r="E54" s="141"/>
      <c r="F54" s="141"/>
      <c r="G54" s="141"/>
      <c r="H54" s="141"/>
      <c r="I54" s="141"/>
      <c r="J54" s="108"/>
    </row>
    <row r="55" spans="1:10" ht="14.25" x14ac:dyDescent="0.2">
      <c r="A55" s="141"/>
      <c r="B55" s="141"/>
      <c r="C55" s="141" t="s">
        <v>287</v>
      </c>
      <c r="D55" s="141"/>
      <c r="E55" s="141"/>
      <c r="F55" s="173">
        <f>F51*F53</f>
        <v>11448.000000000002</v>
      </c>
      <c r="G55" s="167" t="s">
        <v>288</v>
      </c>
      <c r="H55" s="141"/>
      <c r="I55" s="141"/>
      <c r="J55" s="108"/>
    </row>
    <row r="56" spans="1:10" ht="5.25" customHeight="1" x14ac:dyDescent="0.2">
      <c r="A56" s="141"/>
      <c r="B56" s="141"/>
      <c r="C56" s="141"/>
      <c r="D56" s="141"/>
      <c r="E56" s="141"/>
      <c r="F56" s="141"/>
      <c r="G56" s="141"/>
      <c r="H56" s="141"/>
      <c r="I56" s="141"/>
      <c r="J56" s="108"/>
    </row>
    <row r="57" spans="1:10" ht="15" customHeight="1" x14ac:dyDescent="0.25">
      <c r="A57" s="141"/>
      <c r="B57" s="141"/>
      <c r="C57" s="143" t="s">
        <v>234</v>
      </c>
      <c r="D57" s="116"/>
      <c r="E57" s="116"/>
      <c r="F57" s="170">
        <f>F49*G59</f>
        <v>571.25520000000006</v>
      </c>
      <c r="G57" s="370" t="s">
        <v>237</v>
      </c>
      <c r="H57" s="370"/>
      <c r="I57" s="108"/>
      <c r="J57" s="108"/>
    </row>
    <row r="58" spans="1:10" ht="8.25" customHeight="1" x14ac:dyDescent="0.25">
      <c r="A58" s="141"/>
      <c r="B58" s="141"/>
      <c r="C58" s="143"/>
      <c r="D58" s="116"/>
      <c r="E58" s="116"/>
      <c r="F58" s="170"/>
      <c r="G58" s="210"/>
      <c r="H58" s="210"/>
      <c r="I58" s="108"/>
      <c r="J58" s="108"/>
    </row>
    <row r="59" spans="1:10" ht="12.75" customHeight="1" x14ac:dyDescent="0.3">
      <c r="A59" s="108"/>
      <c r="B59" s="184"/>
      <c r="C59" s="349" t="s">
        <v>235</v>
      </c>
      <c r="D59" s="349"/>
      <c r="E59" s="349"/>
      <c r="F59" s="349"/>
      <c r="G59" s="177">
        <v>0.499</v>
      </c>
      <c r="H59" s="208" t="s">
        <v>236</v>
      </c>
      <c r="I59" s="208"/>
      <c r="J59" s="108"/>
    </row>
    <row r="60" spans="1:10" x14ac:dyDescent="0.2">
      <c r="A60" s="108"/>
      <c r="B60" s="175"/>
      <c r="C60" s="356" t="s">
        <v>346</v>
      </c>
      <c r="D60" s="356"/>
      <c r="E60" s="356"/>
      <c r="F60" s="356"/>
      <c r="G60" s="108"/>
      <c r="H60" s="108"/>
      <c r="I60" s="108"/>
      <c r="J60" s="108"/>
    </row>
    <row r="61" spans="1:10" x14ac:dyDescent="0.2">
      <c r="A61" s="108"/>
      <c r="B61" s="113"/>
      <c r="C61" s="108"/>
      <c r="D61" s="108"/>
      <c r="E61" s="108"/>
      <c r="F61" s="113"/>
      <c r="G61" s="108"/>
      <c r="H61" s="108"/>
      <c r="I61" s="108"/>
    </row>
    <row r="62" spans="1:10" x14ac:dyDescent="0.2">
      <c r="A62" s="108"/>
      <c r="B62" s="108"/>
      <c r="C62" s="108"/>
      <c r="D62" s="176"/>
      <c r="E62" s="108"/>
      <c r="F62" s="108"/>
      <c r="G62" s="108"/>
      <c r="H62" s="108"/>
      <c r="I62" s="108"/>
    </row>
  </sheetData>
  <mergeCells count="10">
    <mergeCell ref="A1:I1"/>
    <mergeCell ref="A4:I4"/>
    <mergeCell ref="A19:I19"/>
    <mergeCell ref="A31:I31"/>
    <mergeCell ref="C35:I35"/>
    <mergeCell ref="C60:F60"/>
    <mergeCell ref="A37:I37"/>
    <mergeCell ref="H43:I43"/>
    <mergeCell ref="C59:F59"/>
    <mergeCell ref="G57:H57"/>
  </mergeCells>
  <pageMargins left="0.78740157499999996" right="0.78740157499999996" top="1.6078125000000001" bottom="0.984251969" header="0.4921259845" footer="0.4921259845"/>
  <pageSetup scale="70" fitToHeight="0" orientation="portrait" r:id="rId1"/>
  <headerFooter alignWithMargins="0">
    <oddHeader>&amp;C&amp;G&amp;R&amp;"Arial,Negrita Cursiva"ILUMINACIÓN</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073" r:id="rId5" name="Drop Down 1">
              <controlPr locked="0" defaultSize="0" autoFill="0" autoLine="0" autoPict="0">
                <anchor moveWithCells="1">
                  <from>
                    <xdr:col>4</xdr:col>
                    <xdr:colOff>0</xdr:colOff>
                    <xdr:row>5</xdr:row>
                    <xdr:rowOff>9525</xdr:rowOff>
                  </from>
                  <to>
                    <xdr:col>7</xdr:col>
                    <xdr:colOff>0</xdr:colOff>
                    <xdr:row>6</xdr:row>
                    <xdr:rowOff>19050</xdr:rowOff>
                  </to>
                </anchor>
              </controlPr>
            </control>
          </mc:Choice>
        </mc:AlternateContent>
        <mc:AlternateContent xmlns:mc="http://schemas.openxmlformats.org/markup-compatibility/2006">
          <mc:Choice Requires="x14">
            <control shapeId="3074" r:id="rId6" name="Drop Down 2">
              <controlPr locked="0" defaultSize="0" autoFill="0" autoLine="0" autoPict="0">
                <anchor moveWithCells="1">
                  <from>
                    <xdr:col>4</xdr:col>
                    <xdr:colOff>9525</xdr:colOff>
                    <xdr:row>20</xdr:row>
                    <xdr:rowOff>9525</xdr:rowOff>
                  </from>
                  <to>
                    <xdr:col>7</xdr:col>
                    <xdr:colOff>0</xdr:colOff>
                    <xdr:row>21</xdr:row>
                    <xdr:rowOff>19050</xdr:rowOff>
                  </to>
                </anchor>
              </controlPr>
            </control>
          </mc:Choice>
        </mc:AlternateContent>
        <mc:AlternateContent xmlns:mc="http://schemas.openxmlformats.org/markup-compatibility/2006">
          <mc:Choice Requires="x14">
            <control shapeId="3075" r:id="rId7" name="Drop Down 3">
              <controlPr locked="0" defaultSize="0" autoFill="0" autoLine="0" autoPict="0">
                <anchor moveWithCells="1">
                  <from>
                    <xdr:col>4</xdr:col>
                    <xdr:colOff>0</xdr:colOff>
                    <xdr:row>22</xdr:row>
                    <xdr:rowOff>0</xdr:rowOff>
                  </from>
                  <to>
                    <xdr:col>7</xdr:col>
                    <xdr:colOff>0</xdr:colOff>
                    <xdr:row>23</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opLeftCell="A7" workbookViewId="0">
      <selection activeCell="A2" sqref="A2:A13"/>
    </sheetView>
  </sheetViews>
  <sheetFormatPr baseColWidth="10" defaultRowHeight="12.75" x14ac:dyDescent="0.2"/>
  <cols>
    <col min="1" max="7" width="11.42578125" style="68"/>
    <col min="8" max="8" width="20.7109375" style="68" customWidth="1"/>
    <col min="9" max="263" width="11.42578125" style="68"/>
    <col min="264" max="264" width="20.7109375" style="68" customWidth="1"/>
    <col min="265" max="519" width="11.42578125" style="68"/>
    <col min="520" max="520" width="20.7109375" style="68" customWidth="1"/>
    <col min="521" max="775" width="11.42578125" style="68"/>
    <col min="776" max="776" width="20.7109375" style="68" customWidth="1"/>
    <col min="777" max="1031" width="11.42578125" style="68"/>
    <col min="1032" max="1032" width="20.7109375" style="68" customWidth="1"/>
    <col min="1033" max="1287" width="11.42578125" style="68"/>
    <col min="1288" max="1288" width="20.7109375" style="68" customWidth="1"/>
    <col min="1289" max="1543" width="11.42578125" style="68"/>
    <col min="1544" max="1544" width="20.7109375" style="68" customWidth="1"/>
    <col min="1545" max="1799" width="11.42578125" style="68"/>
    <col min="1800" max="1800" width="20.7109375" style="68" customWidth="1"/>
    <col min="1801" max="2055" width="11.42578125" style="68"/>
    <col min="2056" max="2056" width="20.7109375" style="68" customWidth="1"/>
    <col min="2057" max="2311" width="11.42578125" style="68"/>
    <col min="2312" max="2312" width="20.7109375" style="68" customWidth="1"/>
    <col min="2313" max="2567" width="11.42578125" style="68"/>
    <col min="2568" max="2568" width="20.7109375" style="68" customWidth="1"/>
    <col min="2569" max="2823" width="11.42578125" style="68"/>
    <col min="2824" max="2824" width="20.7109375" style="68" customWidth="1"/>
    <col min="2825" max="3079" width="11.42578125" style="68"/>
    <col min="3080" max="3080" width="20.7109375" style="68" customWidth="1"/>
    <col min="3081" max="3335" width="11.42578125" style="68"/>
    <col min="3336" max="3336" width="20.7109375" style="68" customWidth="1"/>
    <col min="3337" max="3591" width="11.42578125" style="68"/>
    <col min="3592" max="3592" width="20.7109375" style="68" customWidth="1"/>
    <col min="3593" max="3847" width="11.42578125" style="68"/>
    <col min="3848" max="3848" width="20.7109375" style="68" customWidth="1"/>
    <col min="3849" max="4103" width="11.42578125" style="68"/>
    <col min="4104" max="4104" width="20.7109375" style="68" customWidth="1"/>
    <col min="4105" max="4359" width="11.42578125" style="68"/>
    <col min="4360" max="4360" width="20.7109375" style="68" customWidth="1"/>
    <col min="4361" max="4615" width="11.42578125" style="68"/>
    <col min="4616" max="4616" width="20.7109375" style="68" customWidth="1"/>
    <col min="4617" max="4871" width="11.42578125" style="68"/>
    <col min="4872" max="4872" width="20.7109375" style="68" customWidth="1"/>
    <col min="4873" max="5127" width="11.42578125" style="68"/>
    <col min="5128" max="5128" width="20.7109375" style="68" customWidth="1"/>
    <col min="5129" max="5383" width="11.42578125" style="68"/>
    <col min="5384" max="5384" width="20.7109375" style="68" customWidth="1"/>
    <col min="5385" max="5639" width="11.42578125" style="68"/>
    <col min="5640" max="5640" width="20.7109375" style="68" customWidth="1"/>
    <col min="5641" max="5895" width="11.42578125" style="68"/>
    <col min="5896" max="5896" width="20.7109375" style="68" customWidth="1"/>
    <col min="5897" max="6151" width="11.42578125" style="68"/>
    <col min="6152" max="6152" width="20.7109375" style="68" customWidth="1"/>
    <col min="6153" max="6407" width="11.42578125" style="68"/>
    <col min="6408" max="6408" width="20.7109375" style="68" customWidth="1"/>
    <col min="6409" max="6663" width="11.42578125" style="68"/>
    <col min="6664" max="6664" width="20.7109375" style="68" customWidth="1"/>
    <col min="6665" max="6919" width="11.42578125" style="68"/>
    <col min="6920" max="6920" width="20.7109375" style="68" customWidth="1"/>
    <col min="6921" max="7175" width="11.42578125" style="68"/>
    <col min="7176" max="7176" width="20.7109375" style="68" customWidth="1"/>
    <col min="7177" max="7431" width="11.42578125" style="68"/>
    <col min="7432" max="7432" width="20.7109375" style="68" customWidth="1"/>
    <col min="7433" max="7687" width="11.42578125" style="68"/>
    <col min="7688" max="7688" width="20.7109375" style="68" customWidth="1"/>
    <col min="7689" max="7943" width="11.42578125" style="68"/>
    <col min="7944" max="7944" width="20.7109375" style="68" customWidth="1"/>
    <col min="7945" max="8199" width="11.42578125" style="68"/>
    <col min="8200" max="8200" width="20.7109375" style="68" customWidth="1"/>
    <col min="8201" max="8455" width="11.42578125" style="68"/>
    <col min="8456" max="8456" width="20.7109375" style="68" customWidth="1"/>
    <col min="8457" max="8711" width="11.42578125" style="68"/>
    <col min="8712" max="8712" width="20.7109375" style="68" customWidth="1"/>
    <col min="8713" max="8967" width="11.42578125" style="68"/>
    <col min="8968" max="8968" width="20.7109375" style="68" customWidth="1"/>
    <col min="8969" max="9223" width="11.42578125" style="68"/>
    <col min="9224" max="9224" width="20.7109375" style="68" customWidth="1"/>
    <col min="9225" max="9479" width="11.42578125" style="68"/>
    <col min="9480" max="9480" width="20.7109375" style="68" customWidth="1"/>
    <col min="9481" max="9735" width="11.42578125" style="68"/>
    <col min="9736" max="9736" width="20.7109375" style="68" customWidth="1"/>
    <col min="9737" max="9991" width="11.42578125" style="68"/>
    <col min="9992" max="9992" width="20.7109375" style="68" customWidth="1"/>
    <col min="9993" max="10247" width="11.42578125" style="68"/>
    <col min="10248" max="10248" width="20.7109375" style="68" customWidth="1"/>
    <col min="10249" max="10503" width="11.42578125" style="68"/>
    <col min="10504" max="10504" width="20.7109375" style="68" customWidth="1"/>
    <col min="10505" max="10759" width="11.42578125" style="68"/>
    <col min="10760" max="10760" width="20.7109375" style="68" customWidth="1"/>
    <col min="10761" max="11015" width="11.42578125" style="68"/>
    <col min="11016" max="11016" width="20.7109375" style="68" customWidth="1"/>
    <col min="11017" max="11271" width="11.42578125" style="68"/>
    <col min="11272" max="11272" width="20.7109375" style="68" customWidth="1"/>
    <col min="11273" max="11527" width="11.42578125" style="68"/>
    <col min="11528" max="11528" width="20.7109375" style="68" customWidth="1"/>
    <col min="11529" max="11783" width="11.42578125" style="68"/>
    <col min="11784" max="11784" width="20.7109375" style="68" customWidth="1"/>
    <col min="11785" max="12039" width="11.42578125" style="68"/>
    <col min="12040" max="12040" width="20.7109375" style="68" customWidth="1"/>
    <col min="12041" max="12295" width="11.42578125" style="68"/>
    <col min="12296" max="12296" width="20.7109375" style="68" customWidth="1"/>
    <col min="12297" max="12551" width="11.42578125" style="68"/>
    <col min="12552" max="12552" width="20.7109375" style="68" customWidth="1"/>
    <col min="12553" max="12807" width="11.42578125" style="68"/>
    <col min="12808" max="12808" width="20.7109375" style="68" customWidth="1"/>
    <col min="12809" max="13063" width="11.42578125" style="68"/>
    <col min="13064" max="13064" width="20.7109375" style="68" customWidth="1"/>
    <col min="13065" max="13319" width="11.42578125" style="68"/>
    <col min="13320" max="13320" width="20.7109375" style="68" customWidth="1"/>
    <col min="13321" max="13575" width="11.42578125" style="68"/>
    <col min="13576" max="13576" width="20.7109375" style="68" customWidth="1"/>
    <col min="13577" max="13831" width="11.42578125" style="68"/>
    <col min="13832" max="13832" width="20.7109375" style="68" customWidth="1"/>
    <col min="13833" max="14087" width="11.42578125" style="68"/>
    <col min="14088" max="14088" width="20.7109375" style="68" customWidth="1"/>
    <col min="14089" max="14343" width="11.42578125" style="68"/>
    <col min="14344" max="14344" width="20.7109375" style="68" customWidth="1"/>
    <col min="14345" max="14599" width="11.42578125" style="68"/>
    <col min="14600" max="14600" width="20.7109375" style="68" customWidth="1"/>
    <col min="14601" max="14855" width="11.42578125" style="68"/>
    <col min="14856" max="14856" width="20.7109375" style="68" customWidth="1"/>
    <col min="14857" max="15111" width="11.42578125" style="68"/>
    <col min="15112" max="15112" width="20.7109375" style="68" customWidth="1"/>
    <col min="15113" max="15367" width="11.42578125" style="68"/>
    <col min="15368" max="15368" width="20.7109375" style="68" customWidth="1"/>
    <col min="15369" max="15623" width="11.42578125" style="68"/>
    <col min="15624" max="15624" width="20.7109375" style="68" customWidth="1"/>
    <col min="15625" max="15879" width="11.42578125" style="68"/>
    <col min="15880" max="15880" width="20.7109375" style="68" customWidth="1"/>
    <col min="15881" max="16135" width="11.42578125" style="68"/>
    <col min="16136" max="16136" width="20.7109375" style="68" customWidth="1"/>
    <col min="16137" max="16384" width="11.42578125" style="68"/>
  </cols>
  <sheetData>
    <row r="1" spans="1:9" x14ac:dyDescent="0.2">
      <c r="A1" s="68" t="s">
        <v>90</v>
      </c>
      <c r="C1" s="72" t="s">
        <v>243</v>
      </c>
      <c r="E1" s="68" t="s">
        <v>244</v>
      </c>
      <c r="F1" s="68" t="s">
        <v>245</v>
      </c>
      <c r="H1" s="68" t="s">
        <v>246</v>
      </c>
    </row>
    <row r="2" spans="1:9" ht="14.25" x14ac:dyDescent="0.2">
      <c r="A2" s="146" t="s">
        <v>247</v>
      </c>
      <c r="C2" s="68">
        <v>20</v>
      </c>
      <c r="E2" s="68">
        <v>5</v>
      </c>
      <c r="F2" s="68">
        <f>INDEX(A2:C13,E2,3)</f>
        <v>300</v>
      </c>
      <c r="G2" s="68" t="s">
        <v>82</v>
      </c>
      <c r="H2" s="68">
        <v>1.5</v>
      </c>
      <c r="I2" s="68">
        <v>1</v>
      </c>
    </row>
    <row r="3" spans="1:9" ht="14.25" x14ac:dyDescent="0.2">
      <c r="A3" s="146" t="s">
        <v>248</v>
      </c>
      <c r="C3" s="68">
        <v>50</v>
      </c>
      <c r="H3" s="68">
        <v>1.5</v>
      </c>
      <c r="I3" s="68">
        <v>1</v>
      </c>
    </row>
    <row r="4" spans="1:9" ht="14.25" x14ac:dyDescent="0.2">
      <c r="A4" s="146" t="s">
        <v>249</v>
      </c>
      <c r="C4" s="68">
        <v>100</v>
      </c>
      <c r="H4" s="68">
        <v>3.5</v>
      </c>
      <c r="I4" s="68">
        <v>2</v>
      </c>
    </row>
    <row r="5" spans="1:9" ht="14.25" x14ac:dyDescent="0.2">
      <c r="A5" s="146" t="s">
        <v>250</v>
      </c>
      <c r="C5" s="68">
        <v>200</v>
      </c>
      <c r="H5" s="68">
        <v>1.5</v>
      </c>
      <c r="I5" s="68">
        <v>1</v>
      </c>
    </row>
    <row r="6" spans="1:9" ht="14.25" x14ac:dyDescent="0.2">
      <c r="A6" s="146" t="s">
        <v>92</v>
      </c>
      <c r="C6" s="68">
        <v>300</v>
      </c>
      <c r="H6" s="68">
        <v>2</v>
      </c>
      <c r="I6" s="68">
        <v>1</v>
      </c>
    </row>
    <row r="7" spans="1:9" ht="14.25" x14ac:dyDescent="0.2">
      <c r="A7" s="146" t="s">
        <v>110</v>
      </c>
      <c r="C7" s="68">
        <v>300</v>
      </c>
      <c r="H7" s="68">
        <v>3.5</v>
      </c>
      <c r="I7" s="68">
        <v>3</v>
      </c>
    </row>
    <row r="8" spans="1:9" ht="14.25" x14ac:dyDescent="0.2">
      <c r="A8" s="146" t="s">
        <v>251</v>
      </c>
      <c r="C8" s="68">
        <v>500</v>
      </c>
      <c r="H8" s="68">
        <v>2.5</v>
      </c>
      <c r="I8" s="68">
        <v>1</v>
      </c>
    </row>
    <row r="9" spans="1:9" ht="14.25" x14ac:dyDescent="0.2">
      <c r="A9" s="146" t="s">
        <v>252</v>
      </c>
      <c r="C9" s="68">
        <v>500</v>
      </c>
      <c r="H9" s="68">
        <v>2</v>
      </c>
      <c r="I9" s="68">
        <v>1</v>
      </c>
    </row>
    <row r="10" spans="1:9" ht="14.25" x14ac:dyDescent="0.2">
      <c r="A10" s="146" t="s">
        <v>253</v>
      </c>
      <c r="C10" s="68">
        <v>500</v>
      </c>
      <c r="H10" s="68">
        <v>2</v>
      </c>
      <c r="I10" s="68">
        <v>1</v>
      </c>
    </row>
    <row r="11" spans="1:9" ht="14.25" x14ac:dyDescent="0.2">
      <c r="A11" s="146" t="s">
        <v>254</v>
      </c>
      <c r="C11" s="68">
        <v>750</v>
      </c>
      <c r="H11" s="68">
        <v>2</v>
      </c>
      <c r="I11" s="68">
        <v>4</v>
      </c>
    </row>
    <row r="12" spans="1:9" ht="14.25" x14ac:dyDescent="0.2">
      <c r="A12" s="146" t="s">
        <v>255</v>
      </c>
      <c r="C12" s="68">
        <v>1000</v>
      </c>
      <c r="H12" s="68">
        <v>2.8</v>
      </c>
      <c r="I12" s="68">
        <v>4</v>
      </c>
    </row>
    <row r="13" spans="1:9" ht="14.25" x14ac:dyDescent="0.2">
      <c r="A13" s="146" t="s">
        <v>256</v>
      </c>
      <c r="C13" s="68">
        <v>2000</v>
      </c>
      <c r="H13" s="68">
        <v>2.8</v>
      </c>
      <c r="I13" s="68">
        <v>4</v>
      </c>
    </row>
    <row r="15" spans="1:9" x14ac:dyDescent="0.2">
      <c r="D15" s="68" t="s">
        <v>244</v>
      </c>
    </row>
    <row r="16" spans="1:9" x14ac:dyDescent="0.2">
      <c r="A16" s="71" t="s">
        <v>257</v>
      </c>
      <c r="B16" s="71"/>
      <c r="C16" s="71"/>
      <c r="D16" s="68">
        <v>3</v>
      </c>
    </row>
    <row r="17" spans="1:4" x14ac:dyDescent="0.2">
      <c r="A17" s="72" t="s">
        <v>86</v>
      </c>
    </row>
    <row r="18" spans="1:4" x14ac:dyDescent="0.2">
      <c r="A18" s="72" t="s">
        <v>258</v>
      </c>
    </row>
    <row r="19" spans="1:4" x14ac:dyDescent="0.2">
      <c r="A19" s="68" t="s">
        <v>259</v>
      </c>
    </row>
    <row r="20" spans="1:4" x14ac:dyDescent="0.2">
      <c r="A20" s="68" t="s">
        <v>260</v>
      </c>
    </row>
    <row r="21" spans="1:4" x14ac:dyDescent="0.2">
      <c r="A21" s="68" t="s">
        <v>261</v>
      </c>
    </row>
    <row r="22" spans="1:4" x14ac:dyDescent="0.2">
      <c r="A22" s="68" t="s">
        <v>262</v>
      </c>
    </row>
    <row r="23" spans="1:4" x14ac:dyDescent="0.2">
      <c r="A23" s="68" t="s">
        <v>263</v>
      </c>
    </row>
    <row r="24" spans="1:4" x14ac:dyDescent="0.2">
      <c r="A24" s="68" t="s">
        <v>87</v>
      </c>
    </row>
    <row r="25" spans="1:4" x14ac:dyDescent="0.2">
      <c r="A25" s="68" t="s">
        <v>264</v>
      </c>
    </row>
    <row r="26" spans="1:4" x14ac:dyDescent="0.2">
      <c r="A26" s="68" t="s">
        <v>265</v>
      </c>
    </row>
    <row r="27" spans="1:4" x14ac:dyDescent="0.2">
      <c r="D27" s="68" t="s">
        <v>244</v>
      </c>
    </row>
    <row r="28" spans="1:4" x14ac:dyDescent="0.2">
      <c r="A28" s="71" t="s">
        <v>49</v>
      </c>
      <c r="D28" s="68">
        <v>2</v>
      </c>
    </row>
    <row r="29" spans="1:4" x14ac:dyDescent="0.2">
      <c r="A29" s="68" t="str">
        <f>IF(D16&lt;3,"(ninguno)","")</f>
        <v/>
      </c>
    </row>
    <row r="30" spans="1:4" x14ac:dyDescent="0.2">
      <c r="A30" s="68" t="str">
        <f>IF(D16&gt;2,"electromagnético","")</f>
        <v>electromagnético</v>
      </c>
    </row>
    <row r="31" spans="1:4" x14ac:dyDescent="0.2">
      <c r="A31" s="68" t="str">
        <f>IF(AND(D16&gt;2,D16&lt;7),"electrónico","")</f>
        <v>electrónico</v>
      </c>
    </row>
  </sheetData>
  <pageMargins left="0.78740157499999996" right="0.78740157499999996" top="0.984251969" bottom="0.984251969" header="0.4921259845" footer="0.4921259845"/>
  <pageSetup paperSize="9" orientation="portrait" horizontalDpi="355" verticalDpi="355" r:id="rId1"/>
  <headerFooter alignWithMargins="0">
    <oddHeader>&amp;A</oddHeader>
    <oddFooter>Page &amp;P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81"/>
  <sheetViews>
    <sheetView showOutlineSymbols="0" topLeftCell="B1" zoomScaleNormal="100" workbookViewId="0">
      <selection activeCell="R2" sqref="R2"/>
    </sheetView>
  </sheetViews>
  <sheetFormatPr baseColWidth="10" defaultRowHeight="12.75" x14ac:dyDescent="0.2"/>
  <cols>
    <col min="1" max="1" width="2.85546875" style="68" customWidth="1"/>
    <col min="2" max="2" width="39.28515625" style="68" customWidth="1"/>
    <col min="3" max="3" width="13.28515625" style="68" customWidth="1"/>
    <col min="4" max="4" width="2.140625" style="68" customWidth="1"/>
    <col min="5" max="5" width="15.7109375" style="68" customWidth="1"/>
    <col min="6" max="6" width="3.7109375" style="68" customWidth="1"/>
    <col min="7" max="7" width="1" style="68" customWidth="1"/>
    <col min="8" max="8" width="5.42578125" style="73" customWidth="1"/>
    <col min="9" max="9" width="13.5703125" style="73" customWidth="1"/>
    <col min="10" max="10" width="4.28515625" style="73" customWidth="1"/>
    <col min="11" max="11" width="2.7109375" style="73" customWidth="1"/>
    <col min="12" max="12" width="4" style="73" customWidth="1"/>
    <col min="13" max="13" width="11.42578125" style="68"/>
    <col min="14" max="14" width="4.28515625" style="68" customWidth="1"/>
    <col min="15" max="15" width="6.85546875" style="68" customWidth="1"/>
    <col min="16" max="256" width="11.42578125" style="68"/>
    <col min="257" max="257" width="1" style="68" customWidth="1"/>
    <col min="258" max="258" width="31.42578125" style="68" customWidth="1"/>
    <col min="259" max="259" width="9.7109375" style="68" customWidth="1"/>
    <col min="260" max="260" width="2.140625" style="68" customWidth="1"/>
    <col min="261" max="261" width="15.7109375" style="68" customWidth="1"/>
    <col min="262" max="262" width="2" style="68" customWidth="1"/>
    <col min="263" max="263" width="1" style="68" customWidth="1"/>
    <col min="264" max="264" width="3.5703125" style="68" customWidth="1"/>
    <col min="265" max="265" width="12.7109375" style="68" customWidth="1"/>
    <col min="266" max="266" width="4.140625" style="68" customWidth="1"/>
    <col min="267" max="267" width="0.7109375" style="68" customWidth="1"/>
    <col min="268" max="268" width="4" style="68" customWidth="1"/>
    <col min="269" max="269" width="11.42578125" style="68"/>
    <col min="270" max="270" width="4.28515625" style="68" customWidth="1"/>
    <col min="271" max="512" width="11.42578125" style="68"/>
    <col min="513" max="513" width="1" style="68" customWidth="1"/>
    <col min="514" max="514" width="31.42578125" style="68" customWidth="1"/>
    <col min="515" max="515" width="9.7109375" style="68" customWidth="1"/>
    <col min="516" max="516" width="2.140625" style="68" customWidth="1"/>
    <col min="517" max="517" width="15.7109375" style="68" customWidth="1"/>
    <col min="518" max="518" width="2" style="68" customWidth="1"/>
    <col min="519" max="519" width="1" style="68" customWidth="1"/>
    <col min="520" max="520" width="3.5703125" style="68" customWidth="1"/>
    <col min="521" max="521" width="12.7109375" style="68" customWidth="1"/>
    <col min="522" max="522" width="4.140625" style="68" customWidth="1"/>
    <col min="523" max="523" width="0.7109375" style="68" customWidth="1"/>
    <col min="524" max="524" width="4" style="68" customWidth="1"/>
    <col min="525" max="525" width="11.42578125" style="68"/>
    <col min="526" max="526" width="4.28515625" style="68" customWidth="1"/>
    <col min="527" max="768" width="11.42578125" style="68"/>
    <col min="769" max="769" width="1" style="68" customWidth="1"/>
    <col min="770" max="770" width="31.42578125" style="68" customWidth="1"/>
    <col min="771" max="771" width="9.7109375" style="68" customWidth="1"/>
    <col min="772" max="772" width="2.140625" style="68" customWidth="1"/>
    <col min="773" max="773" width="15.7109375" style="68" customWidth="1"/>
    <col min="774" max="774" width="2" style="68" customWidth="1"/>
    <col min="775" max="775" width="1" style="68" customWidth="1"/>
    <col min="776" max="776" width="3.5703125" style="68" customWidth="1"/>
    <col min="777" max="777" width="12.7109375" style="68" customWidth="1"/>
    <col min="778" max="778" width="4.140625" style="68" customWidth="1"/>
    <col min="779" max="779" width="0.7109375" style="68" customWidth="1"/>
    <col min="780" max="780" width="4" style="68" customWidth="1"/>
    <col min="781" max="781" width="11.42578125" style="68"/>
    <col min="782" max="782" width="4.28515625" style="68" customWidth="1"/>
    <col min="783" max="1024" width="11.42578125" style="68"/>
    <col min="1025" max="1025" width="1" style="68" customWidth="1"/>
    <col min="1026" max="1026" width="31.42578125" style="68" customWidth="1"/>
    <col min="1027" max="1027" width="9.7109375" style="68" customWidth="1"/>
    <col min="1028" max="1028" width="2.140625" style="68" customWidth="1"/>
    <col min="1029" max="1029" width="15.7109375" style="68" customWidth="1"/>
    <col min="1030" max="1030" width="2" style="68" customWidth="1"/>
    <col min="1031" max="1031" width="1" style="68" customWidth="1"/>
    <col min="1032" max="1032" width="3.5703125" style="68" customWidth="1"/>
    <col min="1033" max="1033" width="12.7109375" style="68" customWidth="1"/>
    <col min="1034" max="1034" width="4.140625" style="68" customWidth="1"/>
    <col min="1035" max="1035" width="0.7109375" style="68" customWidth="1"/>
    <col min="1036" max="1036" width="4" style="68" customWidth="1"/>
    <col min="1037" max="1037" width="11.42578125" style="68"/>
    <col min="1038" max="1038" width="4.28515625" style="68" customWidth="1"/>
    <col min="1039" max="1280" width="11.42578125" style="68"/>
    <col min="1281" max="1281" width="1" style="68" customWidth="1"/>
    <col min="1282" max="1282" width="31.42578125" style="68" customWidth="1"/>
    <col min="1283" max="1283" width="9.7109375" style="68" customWidth="1"/>
    <col min="1284" max="1284" width="2.140625" style="68" customWidth="1"/>
    <col min="1285" max="1285" width="15.7109375" style="68" customWidth="1"/>
    <col min="1286" max="1286" width="2" style="68" customWidth="1"/>
    <col min="1287" max="1287" width="1" style="68" customWidth="1"/>
    <col min="1288" max="1288" width="3.5703125" style="68" customWidth="1"/>
    <col min="1289" max="1289" width="12.7109375" style="68" customWidth="1"/>
    <col min="1290" max="1290" width="4.140625" style="68" customWidth="1"/>
    <col min="1291" max="1291" width="0.7109375" style="68" customWidth="1"/>
    <col min="1292" max="1292" width="4" style="68" customWidth="1"/>
    <col min="1293" max="1293" width="11.42578125" style="68"/>
    <col min="1294" max="1294" width="4.28515625" style="68" customWidth="1"/>
    <col min="1295" max="1536" width="11.42578125" style="68"/>
    <col min="1537" max="1537" width="1" style="68" customWidth="1"/>
    <col min="1538" max="1538" width="31.42578125" style="68" customWidth="1"/>
    <col min="1539" max="1539" width="9.7109375" style="68" customWidth="1"/>
    <col min="1540" max="1540" width="2.140625" style="68" customWidth="1"/>
    <col min="1541" max="1541" width="15.7109375" style="68" customWidth="1"/>
    <col min="1542" max="1542" width="2" style="68" customWidth="1"/>
    <col min="1543" max="1543" width="1" style="68" customWidth="1"/>
    <col min="1544" max="1544" width="3.5703125" style="68" customWidth="1"/>
    <col min="1545" max="1545" width="12.7109375" style="68" customWidth="1"/>
    <col min="1546" max="1546" width="4.140625" style="68" customWidth="1"/>
    <col min="1547" max="1547" width="0.7109375" style="68" customWidth="1"/>
    <col min="1548" max="1548" width="4" style="68" customWidth="1"/>
    <col min="1549" max="1549" width="11.42578125" style="68"/>
    <col min="1550" max="1550" width="4.28515625" style="68" customWidth="1"/>
    <col min="1551" max="1792" width="11.42578125" style="68"/>
    <col min="1793" max="1793" width="1" style="68" customWidth="1"/>
    <col min="1794" max="1794" width="31.42578125" style="68" customWidth="1"/>
    <col min="1795" max="1795" width="9.7109375" style="68" customWidth="1"/>
    <col min="1796" max="1796" width="2.140625" style="68" customWidth="1"/>
    <col min="1797" max="1797" width="15.7109375" style="68" customWidth="1"/>
    <col min="1798" max="1798" width="2" style="68" customWidth="1"/>
    <col min="1799" max="1799" width="1" style="68" customWidth="1"/>
    <col min="1800" max="1800" width="3.5703125" style="68" customWidth="1"/>
    <col min="1801" max="1801" width="12.7109375" style="68" customWidth="1"/>
    <col min="1802" max="1802" width="4.140625" style="68" customWidth="1"/>
    <col min="1803" max="1803" width="0.7109375" style="68" customWidth="1"/>
    <col min="1804" max="1804" width="4" style="68" customWidth="1"/>
    <col min="1805" max="1805" width="11.42578125" style="68"/>
    <col min="1806" max="1806" width="4.28515625" style="68" customWidth="1"/>
    <col min="1807" max="2048" width="11.42578125" style="68"/>
    <col min="2049" max="2049" width="1" style="68" customWidth="1"/>
    <col min="2050" max="2050" width="31.42578125" style="68" customWidth="1"/>
    <col min="2051" max="2051" width="9.7109375" style="68" customWidth="1"/>
    <col min="2052" max="2052" width="2.140625" style="68" customWidth="1"/>
    <col min="2053" max="2053" width="15.7109375" style="68" customWidth="1"/>
    <col min="2054" max="2054" width="2" style="68" customWidth="1"/>
    <col min="2055" max="2055" width="1" style="68" customWidth="1"/>
    <col min="2056" max="2056" width="3.5703125" style="68" customWidth="1"/>
    <col min="2057" max="2057" width="12.7109375" style="68" customWidth="1"/>
    <col min="2058" max="2058" width="4.140625" style="68" customWidth="1"/>
    <col min="2059" max="2059" width="0.7109375" style="68" customWidth="1"/>
    <col min="2060" max="2060" width="4" style="68" customWidth="1"/>
    <col min="2061" max="2061" width="11.42578125" style="68"/>
    <col min="2062" max="2062" width="4.28515625" style="68" customWidth="1"/>
    <col min="2063" max="2304" width="11.42578125" style="68"/>
    <col min="2305" max="2305" width="1" style="68" customWidth="1"/>
    <col min="2306" max="2306" width="31.42578125" style="68" customWidth="1"/>
    <col min="2307" max="2307" width="9.7109375" style="68" customWidth="1"/>
    <col min="2308" max="2308" width="2.140625" style="68" customWidth="1"/>
    <col min="2309" max="2309" width="15.7109375" style="68" customWidth="1"/>
    <col min="2310" max="2310" width="2" style="68" customWidth="1"/>
    <col min="2311" max="2311" width="1" style="68" customWidth="1"/>
    <col min="2312" max="2312" width="3.5703125" style="68" customWidth="1"/>
    <col min="2313" max="2313" width="12.7109375" style="68" customWidth="1"/>
    <col min="2314" max="2314" width="4.140625" style="68" customWidth="1"/>
    <col min="2315" max="2315" width="0.7109375" style="68" customWidth="1"/>
    <col min="2316" max="2316" width="4" style="68" customWidth="1"/>
    <col min="2317" max="2317" width="11.42578125" style="68"/>
    <col min="2318" max="2318" width="4.28515625" style="68" customWidth="1"/>
    <col min="2319" max="2560" width="11.42578125" style="68"/>
    <col min="2561" max="2561" width="1" style="68" customWidth="1"/>
    <col min="2562" max="2562" width="31.42578125" style="68" customWidth="1"/>
    <col min="2563" max="2563" width="9.7109375" style="68" customWidth="1"/>
    <col min="2564" max="2564" width="2.140625" style="68" customWidth="1"/>
    <col min="2565" max="2565" width="15.7109375" style="68" customWidth="1"/>
    <col min="2566" max="2566" width="2" style="68" customWidth="1"/>
    <col min="2567" max="2567" width="1" style="68" customWidth="1"/>
    <col min="2568" max="2568" width="3.5703125" style="68" customWidth="1"/>
    <col min="2569" max="2569" width="12.7109375" style="68" customWidth="1"/>
    <col min="2570" max="2570" width="4.140625" style="68" customWidth="1"/>
    <col min="2571" max="2571" width="0.7109375" style="68" customWidth="1"/>
    <col min="2572" max="2572" width="4" style="68" customWidth="1"/>
    <col min="2573" max="2573" width="11.42578125" style="68"/>
    <col min="2574" max="2574" width="4.28515625" style="68" customWidth="1"/>
    <col min="2575" max="2816" width="11.42578125" style="68"/>
    <col min="2817" max="2817" width="1" style="68" customWidth="1"/>
    <col min="2818" max="2818" width="31.42578125" style="68" customWidth="1"/>
    <col min="2819" max="2819" width="9.7109375" style="68" customWidth="1"/>
    <col min="2820" max="2820" width="2.140625" style="68" customWidth="1"/>
    <col min="2821" max="2821" width="15.7109375" style="68" customWidth="1"/>
    <col min="2822" max="2822" width="2" style="68" customWidth="1"/>
    <col min="2823" max="2823" width="1" style="68" customWidth="1"/>
    <col min="2824" max="2824" width="3.5703125" style="68" customWidth="1"/>
    <col min="2825" max="2825" width="12.7109375" style="68" customWidth="1"/>
    <col min="2826" max="2826" width="4.140625" style="68" customWidth="1"/>
    <col min="2827" max="2827" width="0.7109375" style="68" customWidth="1"/>
    <col min="2828" max="2828" width="4" style="68" customWidth="1"/>
    <col min="2829" max="2829" width="11.42578125" style="68"/>
    <col min="2830" max="2830" width="4.28515625" style="68" customWidth="1"/>
    <col min="2831" max="3072" width="11.42578125" style="68"/>
    <col min="3073" max="3073" width="1" style="68" customWidth="1"/>
    <col min="3074" max="3074" width="31.42578125" style="68" customWidth="1"/>
    <col min="3075" max="3075" width="9.7109375" style="68" customWidth="1"/>
    <col min="3076" max="3076" width="2.140625" style="68" customWidth="1"/>
    <col min="3077" max="3077" width="15.7109375" style="68" customWidth="1"/>
    <col min="3078" max="3078" width="2" style="68" customWidth="1"/>
    <col min="3079" max="3079" width="1" style="68" customWidth="1"/>
    <col min="3080" max="3080" width="3.5703125" style="68" customWidth="1"/>
    <col min="3081" max="3081" width="12.7109375" style="68" customWidth="1"/>
    <col min="3082" max="3082" width="4.140625" style="68" customWidth="1"/>
    <col min="3083" max="3083" width="0.7109375" style="68" customWidth="1"/>
    <col min="3084" max="3084" width="4" style="68" customWidth="1"/>
    <col min="3085" max="3085" width="11.42578125" style="68"/>
    <col min="3086" max="3086" width="4.28515625" style="68" customWidth="1"/>
    <col min="3087" max="3328" width="11.42578125" style="68"/>
    <col min="3329" max="3329" width="1" style="68" customWidth="1"/>
    <col min="3330" max="3330" width="31.42578125" style="68" customWidth="1"/>
    <col min="3331" max="3331" width="9.7109375" style="68" customWidth="1"/>
    <col min="3332" max="3332" width="2.140625" style="68" customWidth="1"/>
    <col min="3333" max="3333" width="15.7109375" style="68" customWidth="1"/>
    <col min="3334" max="3334" width="2" style="68" customWidth="1"/>
    <col min="3335" max="3335" width="1" style="68" customWidth="1"/>
    <col min="3336" max="3336" width="3.5703125" style="68" customWidth="1"/>
    <col min="3337" max="3337" width="12.7109375" style="68" customWidth="1"/>
    <col min="3338" max="3338" width="4.140625" style="68" customWidth="1"/>
    <col min="3339" max="3339" width="0.7109375" style="68" customWidth="1"/>
    <col min="3340" max="3340" width="4" style="68" customWidth="1"/>
    <col min="3341" max="3341" width="11.42578125" style="68"/>
    <col min="3342" max="3342" width="4.28515625" style="68" customWidth="1"/>
    <col min="3343" max="3584" width="11.42578125" style="68"/>
    <col min="3585" max="3585" width="1" style="68" customWidth="1"/>
    <col min="3586" max="3586" width="31.42578125" style="68" customWidth="1"/>
    <col min="3587" max="3587" width="9.7109375" style="68" customWidth="1"/>
    <col min="3588" max="3588" width="2.140625" style="68" customWidth="1"/>
    <col min="3589" max="3589" width="15.7109375" style="68" customWidth="1"/>
    <col min="3590" max="3590" width="2" style="68" customWidth="1"/>
    <col min="3591" max="3591" width="1" style="68" customWidth="1"/>
    <col min="3592" max="3592" width="3.5703125" style="68" customWidth="1"/>
    <col min="3593" max="3593" width="12.7109375" style="68" customWidth="1"/>
    <col min="3594" max="3594" width="4.140625" style="68" customWidth="1"/>
    <col min="3595" max="3595" width="0.7109375" style="68" customWidth="1"/>
    <col min="3596" max="3596" width="4" style="68" customWidth="1"/>
    <col min="3597" max="3597" width="11.42578125" style="68"/>
    <col min="3598" max="3598" width="4.28515625" style="68" customWidth="1"/>
    <col min="3599" max="3840" width="11.42578125" style="68"/>
    <col min="3841" max="3841" width="1" style="68" customWidth="1"/>
    <col min="3842" max="3842" width="31.42578125" style="68" customWidth="1"/>
    <col min="3843" max="3843" width="9.7109375" style="68" customWidth="1"/>
    <col min="3844" max="3844" width="2.140625" style="68" customWidth="1"/>
    <col min="3845" max="3845" width="15.7109375" style="68" customWidth="1"/>
    <col min="3846" max="3846" width="2" style="68" customWidth="1"/>
    <col min="3847" max="3847" width="1" style="68" customWidth="1"/>
    <col min="3848" max="3848" width="3.5703125" style="68" customWidth="1"/>
    <col min="3849" max="3849" width="12.7109375" style="68" customWidth="1"/>
    <col min="3850" max="3850" width="4.140625" style="68" customWidth="1"/>
    <col min="3851" max="3851" width="0.7109375" style="68" customWidth="1"/>
    <col min="3852" max="3852" width="4" style="68" customWidth="1"/>
    <col min="3853" max="3853" width="11.42578125" style="68"/>
    <col min="3854" max="3854" width="4.28515625" style="68" customWidth="1"/>
    <col min="3855" max="4096" width="11.42578125" style="68"/>
    <col min="4097" max="4097" width="1" style="68" customWidth="1"/>
    <col min="4098" max="4098" width="31.42578125" style="68" customWidth="1"/>
    <col min="4099" max="4099" width="9.7109375" style="68" customWidth="1"/>
    <col min="4100" max="4100" width="2.140625" style="68" customWidth="1"/>
    <col min="4101" max="4101" width="15.7109375" style="68" customWidth="1"/>
    <col min="4102" max="4102" width="2" style="68" customWidth="1"/>
    <col min="4103" max="4103" width="1" style="68" customWidth="1"/>
    <col min="4104" max="4104" width="3.5703125" style="68" customWidth="1"/>
    <col min="4105" max="4105" width="12.7109375" style="68" customWidth="1"/>
    <col min="4106" max="4106" width="4.140625" style="68" customWidth="1"/>
    <col min="4107" max="4107" width="0.7109375" style="68" customWidth="1"/>
    <col min="4108" max="4108" width="4" style="68" customWidth="1"/>
    <col min="4109" max="4109" width="11.42578125" style="68"/>
    <col min="4110" max="4110" width="4.28515625" style="68" customWidth="1"/>
    <col min="4111" max="4352" width="11.42578125" style="68"/>
    <col min="4353" max="4353" width="1" style="68" customWidth="1"/>
    <col min="4354" max="4354" width="31.42578125" style="68" customWidth="1"/>
    <col min="4355" max="4355" width="9.7109375" style="68" customWidth="1"/>
    <col min="4356" max="4356" width="2.140625" style="68" customWidth="1"/>
    <col min="4357" max="4357" width="15.7109375" style="68" customWidth="1"/>
    <col min="4358" max="4358" width="2" style="68" customWidth="1"/>
    <col min="4359" max="4359" width="1" style="68" customWidth="1"/>
    <col min="4360" max="4360" width="3.5703125" style="68" customWidth="1"/>
    <col min="4361" max="4361" width="12.7109375" style="68" customWidth="1"/>
    <col min="4362" max="4362" width="4.140625" style="68" customWidth="1"/>
    <col min="4363" max="4363" width="0.7109375" style="68" customWidth="1"/>
    <col min="4364" max="4364" width="4" style="68" customWidth="1"/>
    <col min="4365" max="4365" width="11.42578125" style="68"/>
    <col min="4366" max="4366" width="4.28515625" style="68" customWidth="1"/>
    <col min="4367" max="4608" width="11.42578125" style="68"/>
    <col min="4609" max="4609" width="1" style="68" customWidth="1"/>
    <col min="4610" max="4610" width="31.42578125" style="68" customWidth="1"/>
    <col min="4611" max="4611" width="9.7109375" style="68" customWidth="1"/>
    <col min="4612" max="4612" width="2.140625" style="68" customWidth="1"/>
    <col min="4613" max="4613" width="15.7109375" style="68" customWidth="1"/>
    <col min="4614" max="4614" width="2" style="68" customWidth="1"/>
    <col min="4615" max="4615" width="1" style="68" customWidth="1"/>
    <col min="4616" max="4616" width="3.5703125" style="68" customWidth="1"/>
    <col min="4617" max="4617" width="12.7109375" style="68" customWidth="1"/>
    <col min="4618" max="4618" width="4.140625" style="68" customWidth="1"/>
    <col min="4619" max="4619" width="0.7109375" style="68" customWidth="1"/>
    <col min="4620" max="4620" width="4" style="68" customWidth="1"/>
    <col min="4621" max="4621" width="11.42578125" style="68"/>
    <col min="4622" max="4622" width="4.28515625" style="68" customWidth="1"/>
    <col min="4623" max="4864" width="11.42578125" style="68"/>
    <col min="4865" max="4865" width="1" style="68" customWidth="1"/>
    <col min="4866" max="4866" width="31.42578125" style="68" customWidth="1"/>
    <col min="4867" max="4867" width="9.7109375" style="68" customWidth="1"/>
    <col min="4868" max="4868" width="2.140625" style="68" customWidth="1"/>
    <col min="4869" max="4869" width="15.7109375" style="68" customWidth="1"/>
    <col min="4870" max="4870" width="2" style="68" customWidth="1"/>
    <col min="4871" max="4871" width="1" style="68" customWidth="1"/>
    <col min="4872" max="4872" width="3.5703125" style="68" customWidth="1"/>
    <col min="4873" max="4873" width="12.7109375" style="68" customWidth="1"/>
    <col min="4874" max="4874" width="4.140625" style="68" customWidth="1"/>
    <col min="4875" max="4875" width="0.7109375" style="68" customWidth="1"/>
    <col min="4876" max="4876" width="4" style="68" customWidth="1"/>
    <col min="4877" max="4877" width="11.42578125" style="68"/>
    <col min="4878" max="4878" width="4.28515625" style="68" customWidth="1"/>
    <col min="4879" max="5120" width="11.42578125" style="68"/>
    <col min="5121" max="5121" width="1" style="68" customWidth="1"/>
    <col min="5122" max="5122" width="31.42578125" style="68" customWidth="1"/>
    <col min="5123" max="5123" width="9.7109375" style="68" customWidth="1"/>
    <col min="5124" max="5124" width="2.140625" style="68" customWidth="1"/>
    <col min="5125" max="5125" width="15.7109375" style="68" customWidth="1"/>
    <col min="5126" max="5126" width="2" style="68" customWidth="1"/>
    <col min="5127" max="5127" width="1" style="68" customWidth="1"/>
    <col min="5128" max="5128" width="3.5703125" style="68" customWidth="1"/>
    <col min="5129" max="5129" width="12.7109375" style="68" customWidth="1"/>
    <col min="5130" max="5130" width="4.140625" style="68" customWidth="1"/>
    <col min="5131" max="5131" width="0.7109375" style="68" customWidth="1"/>
    <col min="5132" max="5132" width="4" style="68" customWidth="1"/>
    <col min="5133" max="5133" width="11.42578125" style="68"/>
    <col min="5134" max="5134" width="4.28515625" style="68" customWidth="1"/>
    <col min="5135" max="5376" width="11.42578125" style="68"/>
    <col min="5377" max="5377" width="1" style="68" customWidth="1"/>
    <col min="5378" max="5378" width="31.42578125" style="68" customWidth="1"/>
    <col min="5379" max="5379" width="9.7109375" style="68" customWidth="1"/>
    <col min="5380" max="5380" width="2.140625" style="68" customWidth="1"/>
    <col min="5381" max="5381" width="15.7109375" style="68" customWidth="1"/>
    <col min="5382" max="5382" width="2" style="68" customWidth="1"/>
    <col min="5383" max="5383" width="1" style="68" customWidth="1"/>
    <col min="5384" max="5384" width="3.5703125" style="68" customWidth="1"/>
    <col min="5385" max="5385" width="12.7109375" style="68" customWidth="1"/>
    <col min="5386" max="5386" width="4.140625" style="68" customWidth="1"/>
    <col min="5387" max="5387" width="0.7109375" style="68" customWidth="1"/>
    <col min="5388" max="5388" width="4" style="68" customWidth="1"/>
    <col min="5389" max="5389" width="11.42578125" style="68"/>
    <col min="5390" max="5390" width="4.28515625" style="68" customWidth="1"/>
    <col min="5391" max="5632" width="11.42578125" style="68"/>
    <col min="5633" max="5633" width="1" style="68" customWidth="1"/>
    <col min="5634" max="5634" width="31.42578125" style="68" customWidth="1"/>
    <col min="5635" max="5635" width="9.7109375" style="68" customWidth="1"/>
    <col min="5636" max="5636" width="2.140625" style="68" customWidth="1"/>
    <col min="5637" max="5637" width="15.7109375" style="68" customWidth="1"/>
    <col min="5638" max="5638" width="2" style="68" customWidth="1"/>
    <col min="5639" max="5639" width="1" style="68" customWidth="1"/>
    <col min="5640" max="5640" width="3.5703125" style="68" customWidth="1"/>
    <col min="5641" max="5641" width="12.7109375" style="68" customWidth="1"/>
    <col min="5642" max="5642" width="4.140625" style="68" customWidth="1"/>
    <col min="5643" max="5643" width="0.7109375" style="68" customWidth="1"/>
    <col min="5644" max="5644" width="4" style="68" customWidth="1"/>
    <col min="5645" max="5645" width="11.42578125" style="68"/>
    <col min="5646" max="5646" width="4.28515625" style="68" customWidth="1"/>
    <col min="5647" max="5888" width="11.42578125" style="68"/>
    <col min="5889" max="5889" width="1" style="68" customWidth="1"/>
    <col min="5890" max="5890" width="31.42578125" style="68" customWidth="1"/>
    <col min="5891" max="5891" width="9.7109375" style="68" customWidth="1"/>
    <col min="5892" max="5892" width="2.140625" style="68" customWidth="1"/>
    <col min="5893" max="5893" width="15.7109375" style="68" customWidth="1"/>
    <col min="5894" max="5894" width="2" style="68" customWidth="1"/>
    <col min="5895" max="5895" width="1" style="68" customWidth="1"/>
    <col min="5896" max="5896" width="3.5703125" style="68" customWidth="1"/>
    <col min="5897" max="5897" width="12.7109375" style="68" customWidth="1"/>
    <col min="5898" max="5898" width="4.140625" style="68" customWidth="1"/>
    <col min="5899" max="5899" width="0.7109375" style="68" customWidth="1"/>
    <col min="5900" max="5900" width="4" style="68" customWidth="1"/>
    <col min="5901" max="5901" width="11.42578125" style="68"/>
    <col min="5902" max="5902" width="4.28515625" style="68" customWidth="1"/>
    <col min="5903" max="6144" width="11.42578125" style="68"/>
    <col min="6145" max="6145" width="1" style="68" customWidth="1"/>
    <col min="6146" max="6146" width="31.42578125" style="68" customWidth="1"/>
    <col min="6147" max="6147" width="9.7109375" style="68" customWidth="1"/>
    <col min="6148" max="6148" width="2.140625" style="68" customWidth="1"/>
    <col min="6149" max="6149" width="15.7109375" style="68" customWidth="1"/>
    <col min="6150" max="6150" width="2" style="68" customWidth="1"/>
    <col min="6151" max="6151" width="1" style="68" customWidth="1"/>
    <col min="6152" max="6152" width="3.5703125" style="68" customWidth="1"/>
    <col min="6153" max="6153" width="12.7109375" style="68" customWidth="1"/>
    <col min="6154" max="6154" width="4.140625" style="68" customWidth="1"/>
    <col min="6155" max="6155" width="0.7109375" style="68" customWidth="1"/>
    <col min="6156" max="6156" width="4" style="68" customWidth="1"/>
    <col min="6157" max="6157" width="11.42578125" style="68"/>
    <col min="6158" max="6158" width="4.28515625" style="68" customWidth="1"/>
    <col min="6159" max="6400" width="11.42578125" style="68"/>
    <col min="6401" max="6401" width="1" style="68" customWidth="1"/>
    <col min="6402" max="6402" width="31.42578125" style="68" customWidth="1"/>
    <col min="6403" max="6403" width="9.7109375" style="68" customWidth="1"/>
    <col min="6404" max="6404" width="2.140625" style="68" customWidth="1"/>
    <col min="6405" max="6405" width="15.7109375" style="68" customWidth="1"/>
    <col min="6406" max="6406" width="2" style="68" customWidth="1"/>
    <col min="6407" max="6407" width="1" style="68" customWidth="1"/>
    <col min="6408" max="6408" width="3.5703125" style="68" customWidth="1"/>
    <col min="6409" max="6409" width="12.7109375" style="68" customWidth="1"/>
    <col min="6410" max="6410" width="4.140625" style="68" customWidth="1"/>
    <col min="6411" max="6411" width="0.7109375" style="68" customWidth="1"/>
    <col min="6412" max="6412" width="4" style="68" customWidth="1"/>
    <col min="6413" max="6413" width="11.42578125" style="68"/>
    <col min="6414" max="6414" width="4.28515625" style="68" customWidth="1"/>
    <col min="6415" max="6656" width="11.42578125" style="68"/>
    <col min="6657" max="6657" width="1" style="68" customWidth="1"/>
    <col min="6658" max="6658" width="31.42578125" style="68" customWidth="1"/>
    <col min="6659" max="6659" width="9.7109375" style="68" customWidth="1"/>
    <col min="6660" max="6660" width="2.140625" style="68" customWidth="1"/>
    <col min="6661" max="6661" width="15.7109375" style="68" customWidth="1"/>
    <col min="6662" max="6662" width="2" style="68" customWidth="1"/>
    <col min="6663" max="6663" width="1" style="68" customWidth="1"/>
    <col min="6664" max="6664" width="3.5703125" style="68" customWidth="1"/>
    <col min="6665" max="6665" width="12.7109375" style="68" customWidth="1"/>
    <col min="6666" max="6666" width="4.140625" style="68" customWidth="1"/>
    <col min="6667" max="6667" width="0.7109375" style="68" customWidth="1"/>
    <col min="6668" max="6668" width="4" style="68" customWidth="1"/>
    <col min="6669" max="6669" width="11.42578125" style="68"/>
    <col min="6670" max="6670" width="4.28515625" style="68" customWidth="1"/>
    <col min="6671" max="6912" width="11.42578125" style="68"/>
    <col min="6913" max="6913" width="1" style="68" customWidth="1"/>
    <col min="6914" max="6914" width="31.42578125" style="68" customWidth="1"/>
    <col min="6915" max="6915" width="9.7109375" style="68" customWidth="1"/>
    <col min="6916" max="6916" width="2.140625" style="68" customWidth="1"/>
    <col min="6917" max="6917" width="15.7109375" style="68" customWidth="1"/>
    <col min="6918" max="6918" width="2" style="68" customWidth="1"/>
    <col min="6919" max="6919" width="1" style="68" customWidth="1"/>
    <col min="6920" max="6920" width="3.5703125" style="68" customWidth="1"/>
    <col min="6921" max="6921" width="12.7109375" style="68" customWidth="1"/>
    <col min="6922" max="6922" width="4.140625" style="68" customWidth="1"/>
    <col min="6923" max="6923" width="0.7109375" style="68" customWidth="1"/>
    <col min="6924" max="6924" width="4" style="68" customWidth="1"/>
    <col min="6925" max="6925" width="11.42578125" style="68"/>
    <col min="6926" max="6926" width="4.28515625" style="68" customWidth="1"/>
    <col min="6927" max="7168" width="11.42578125" style="68"/>
    <col min="7169" max="7169" width="1" style="68" customWidth="1"/>
    <col min="7170" max="7170" width="31.42578125" style="68" customWidth="1"/>
    <col min="7171" max="7171" width="9.7109375" style="68" customWidth="1"/>
    <col min="7172" max="7172" width="2.140625" style="68" customWidth="1"/>
    <col min="7173" max="7173" width="15.7109375" style="68" customWidth="1"/>
    <col min="7174" max="7174" width="2" style="68" customWidth="1"/>
    <col min="7175" max="7175" width="1" style="68" customWidth="1"/>
    <col min="7176" max="7176" width="3.5703125" style="68" customWidth="1"/>
    <col min="7177" max="7177" width="12.7109375" style="68" customWidth="1"/>
    <col min="7178" max="7178" width="4.140625" style="68" customWidth="1"/>
    <col min="7179" max="7179" width="0.7109375" style="68" customWidth="1"/>
    <col min="7180" max="7180" width="4" style="68" customWidth="1"/>
    <col min="7181" max="7181" width="11.42578125" style="68"/>
    <col min="7182" max="7182" width="4.28515625" style="68" customWidth="1"/>
    <col min="7183" max="7424" width="11.42578125" style="68"/>
    <col min="7425" max="7425" width="1" style="68" customWidth="1"/>
    <col min="7426" max="7426" width="31.42578125" style="68" customWidth="1"/>
    <col min="7427" max="7427" width="9.7109375" style="68" customWidth="1"/>
    <col min="7428" max="7428" width="2.140625" style="68" customWidth="1"/>
    <col min="7429" max="7429" width="15.7109375" style="68" customWidth="1"/>
    <col min="7430" max="7430" width="2" style="68" customWidth="1"/>
    <col min="7431" max="7431" width="1" style="68" customWidth="1"/>
    <col min="7432" max="7432" width="3.5703125" style="68" customWidth="1"/>
    <col min="7433" max="7433" width="12.7109375" style="68" customWidth="1"/>
    <col min="7434" max="7434" width="4.140625" style="68" customWidth="1"/>
    <col min="7435" max="7435" width="0.7109375" style="68" customWidth="1"/>
    <col min="7436" max="7436" width="4" style="68" customWidth="1"/>
    <col min="7437" max="7437" width="11.42578125" style="68"/>
    <col min="7438" max="7438" width="4.28515625" style="68" customWidth="1"/>
    <col min="7439" max="7680" width="11.42578125" style="68"/>
    <col min="7681" max="7681" width="1" style="68" customWidth="1"/>
    <col min="7682" max="7682" width="31.42578125" style="68" customWidth="1"/>
    <col min="7683" max="7683" width="9.7109375" style="68" customWidth="1"/>
    <col min="7684" max="7684" width="2.140625" style="68" customWidth="1"/>
    <col min="7685" max="7685" width="15.7109375" style="68" customWidth="1"/>
    <col min="7686" max="7686" width="2" style="68" customWidth="1"/>
    <col min="7687" max="7687" width="1" style="68" customWidth="1"/>
    <col min="7688" max="7688" width="3.5703125" style="68" customWidth="1"/>
    <col min="7689" max="7689" width="12.7109375" style="68" customWidth="1"/>
    <col min="7690" max="7690" width="4.140625" style="68" customWidth="1"/>
    <col min="7691" max="7691" width="0.7109375" style="68" customWidth="1"/>
    <col min="7692" max="7692" width="4" style="68" customWidth="1"/>
    <col min="7693" max="7693" width="11.42578125" style="68"/>
    <col min="7694" max="7694" width="4.28515625" style="68" customWidth="1"/>
    <col min="7695" max="7936" width="11.42578125" style="68"/>
    <col min="7937" max="7937" width="1" style="68" customWidth="1"/>
    <col min="7938" max="7938" width="31.42578125" style="68" customWidth="1"/>
    <col min="7939" max="7939" width="9.7109375" style="68" customWidth="1"/>
    <col min="7940" max="7940" width="2.140625" style="68" customWidth="1"/>
    <col min="7941" max="7941" width="15.7109375" style="68" customWidth="1"/>
    <col min="7942" max="7942" width="2" style="68" customWidth="1"/>
    <col min="7943" max="7943" width="1" style="68" customWidth="1"/>
    <col min="7944" max="7944" width="3.5703125" style="68" customWidth="1"/>
    <col min="7945" max="7945" width="12.7109375" style="68" customWidth="1"/>
    <col min="7946" max="7946" width="4.140625" style="68" customWidth="1"/>
    <col min="7947" max="7947" width="0.7109375" style="68" customWidth="1"/>
    <col min="7948" max="7948" width="4" style="68" customWidth="1"/>
    <col min="7949" max="7949" width="11.42578125" style="68"/>
    <col min="7950" max="7950" width="4.28515625" style="68" customWidth="1"/>
    <col min="7951" max="8192" width="11.42578125" style="68"/>
    <col min="8193" max="8193" width="1" style="68" customWidth="1"/>
    <col min="8194" max="8194" width="31.42578125" style="68" customWidth="1"/>
    <col min="8195" max="8195" width="9.7109375" style="68" customWidth="1"/>
    <col min="8196" max="8196" width="2.140625" style="68" customWidth="1"/>
    <col min="8197" max="8197" width="15.7109375" style="68" customWidth="1"/>
    <col min="8198" max="8198" width="2" style="68" customWidth="1"/>
    <col min="8199" max="8199" width="1" style="68" customWidth="1"/>
    <col min="8200" max="8200" width="3.5703125" style="68" customWidth="1"/>
    <col min="8201" max="8201" width="12.7109375" style="68" customWidth="1"/>
    <col min="8202" max="8202" width="4.140625" style="68" customWidth="1"/>
    <col min="8203" max="8203" width="0.7109375" style="68" customWidth="1"/>
    <col min="8204" max="8204" width="4" style="68" customWidth="1"/>
    <col min="8205" max="8205" width="11.42578125" style="68"/>
    <col min="8206" max="8206" width="4.28515625" style="68" customWidth="1"/>
    <col min="8207" max="8448" width="11.42578125" style="68"/>
    <col min="8449" max="8449" width="1" style="68" customWidth="1"/>
    <col min="8450" max="8450" width="31.42578125" style="68" customWidth="1"/>
    <col min="8451" max="8451" width="9.7109375" style="68" customWidth="1"/>
    <col min="8452" max="8452" width="2.140625" style="68" customWidth="1"/>
    <col min="8453" max="8453" width="15.7109375" style="68" customWidth="1"/>
    <col min="8454" max="8454" width="2" style="68" customWidth="1"/>
    <col min="8455" max="8455" width="1" style="68" customWidth="1"/>
    <col min="8456" max="8456" width="3.5703125" style="68" customWidth="1"/>
    <col min="8457" max="8457" width="12.7109375" style="68" customWidth="1"/>
    <col min="8458" max="8458" width="4.140625" style="68" customWidth="1"/>
    <col min="8459" max="8459" width="0.7109375" style="68" customWidth="1"/>
    <col min="8460" max="8460" width="4" style="68" customWidth="1"/>
    <col min="8461" max="8461" width="11.42578125" style="68"/>
    <col min="8462" max="8462" width="4.28515625" style="68" customWidth="1"/>
    <col min="8463" max="8704" width="11.42578125" style="68"/>
    <col min="8705" max="8705" width="1" style="68" customWidth="1"/>
    <col min="8706" max="8706" width="31.42578125" style="68" customWidth="1"/>
    <col min="8707" max="8707" width="9.7109375" style="68" customWidth="1"/>
    <col min="8708" max="8708" width="2.140625" style="68" customWidth="1"/>
    <col min="8709" max="8709" width="15.7109375" style="68" customWidth="1"/>
    <col min="8710" max="8710" width="2" style="68" customWidth="1"/>
    <col min="8711" max="8711" width="1" style="68" customWidth="1"/>
    <col min="8712" max="8712" width="3.5703125" style="68" customWidth="1"/>
    <col min="8713" max="8713" width="12.7109375" style="68" customWidth="1"/>
    <col min="8714" max="8714" width="4.140625" style="68" customWidth="1"/>
    <col min="8715" max="8715" width="0.7109375" style="68" customWidth="1"/>
    <col min="8716" max="8716" width="4" style="68" customWidth="1"/>
    <col min="8717" max="8717" width="11.42578125" style="68"/>
    <col min="8718" max="8718" width="4.28515625" style="68" customWidth="1"/>
    <col min="8719" max="8960" width="11.42578125" style="68"/>
    <col min="8961" max="8961" width="1" style="68" customWidth="1"/>
    <col min="8962" max="8962" width="31.42578125" style="68" customWidth="1"/>
    <col min="8963" max="8963" width="9.7109375" style="68" customWidth="1"/>
    <col min="8964" max="8964" width="2.140625" style="68" customWidth="1"/>
    <col min="8965" max="8965" width="15.7109375" style="68" customWidth="1"/>
    <col min="8966" max="8966" width="2" style="68" customWidth="1"/>
    <col min="8967" max="8967" width="1" style="68" customWidth="1"/>
    <col min="8968" max="8968" width="3.5703125" style="68" customWidth="1"/>
    <col min="8969" max="8969" width="12.7109375" style="68" customWidth="1"/>
    <col min="8970" max="8970" width="4.140625" style="68" customWidth="1"/>
    <col min="8971" max="8971" width="0.7109375" style="68" customWidth="1"/>
    <col min="8972" max="8972" width="4" style="68" customWidth="1"/>
    <col min="8973" max="8973" width="11.42578125" style="68"/>
    <col min="8974" max="8974" width="4.28515625" style="68" customWidth="1"/>
    <col min="8975" max="9216" width="11.42578125" style="68"/>
    <col min="9217" max="9217" width="1" style="68" customWidth="1"/>
    <col min="9218" max="9218" width="31.42578125" style="68" customWidth="1"/>
    <col min="9219" max="9219" width="9.7109375" style="68" customWidth="1"/>
    <col min="9220" max="9220" width="2.140625" style="68" customWidth="1"/>
    <col min="9221" max="9221" width="15.7109375" style="68" customWidth="1"/>
    <col min="9222" max="9222" width="2" style="68" customWidth="1"/>
    <col min="9223" max="9223" width="1" style="68" customWidth="1"/>
    <col min="9224" max="9224" width="3.5703125" style="68" customWidth="1"/>
    <col min="9225" max="9225" width="12.7109375" style="68" customWidth="1"/>
    <col min="9226" max="9226" width="4.140625" style="68" customWidth="1"/>
    <col min="9227" max="9227" width="0.7109375" style="68" customWidth="1"/>
    <col min="9228" max="9228" width="4" style="68" customWidth="1"/>
    <col min="9229" max="9229" width="11.42578125" style="68"/>
    <col min="9230" max="9230" width="4.28515625" style="68" customWidth="1"/>
    <col min="9231" max="9472" width="11.42578125" style="68"/>
    <col min="9473" max="9473" width="1" style="68" customWidth="1"/>
    <col min="9474" max="9474" width="31.42578125" style="68" customWidth="1"/>
    <col min="9475" max="9475" width="9.7109375" style="68" customWidth="1"/>
    <col min="9476" max="9476" width="2.140625" style="68" customWidth="1"/>
    <col min="9477" max="9477" width="15.7109375" style="68" customWidth="1"/>
    <col min="9478" max="9478" width="2" style="68" customWidth="1"/>
    <col min="9479" max="9479" width="1" style="68" customWidth="1"/>
    <col min="9480" max="9480" width="3.5703125" style="68" customWidth="1"/>
    <col min="9481" max="9481" width="12.7109375" style="68" customWidth="1"/>
    <col min="9482" max="9482" width="4.140625" style="68" customWidth="1"/>
    <col min="9483" max="9483" width="0.7109375" style="68" customWidth="1"/>
    <col min="9484" max="9484" width="4" style="68" customWidth="1"/>
    <col min="9485" max="9485" width="11.42578125" style="68"/>
    <col min="9486" max="9486" width="4.28515625" style="68" customWidth="1"/>
    <col min="9487" max="9728" width="11.42578125" style="68"/>
    <col min="9729" max="9729" width="1" style="68" customWidth="1"/>
    <col min="9730" max="9730" width="31.42578125" style="68" customWidth="1"/>
    <col min="9731" max="9731" width="9.7109375" style="68" customWidth="1"/>
    <col min="9732" max="9732" width="2.140625" style="68" customWidth="1"/>
    <col min="9733" max="9733" width="15.7109375" style="68" customWidth="1"/>
    <col min="9734" max="9734" width="2" style="68" customWidth="1"/>
    <col min="9735" max="9735" width="1" style="68" customWidth="1"/>
    <col min="9736" max="9736" width="3.5703125" style="68" customWidth="1"/>
    <col min="9737" max="9737" width="12.7109375" style="68" customWidth="1"/>
    <col min="9738" max="9738" width="4.140625" style="68" customWidth="1"/>
    <col min="9739" max="9739" width="0.7109375" style="68" customWidth="1"/>
    <col min="9740" max="9740" width="4" style="68" customWidth="1"/>
    <col min="9741" max="9741" width="11.42578125" style="68"/>
    <col min="9742" max="9742" width="4.28515625" style="68" customWidth="1"/>
    <col min="9743" max="9984" width="11.42578125" style="68"/>
    <col min="9985" max="9985" width="1" style="68" customWidth="1"/>
    <col min="9986" max="9986" width="31.42578125" style="68" customWidth="1"/>
    <col min="9987" max="9987" width="9.7109375" style="68" customWidth="1"/>
    <col min="9988" max="9988" width="2.140625" style="68" customWidth="1"/>
    <col min="9989" max="9989" width="15.7109375" style="68" customWidth="1"/>
    <col min="9990" max="9990" width="2" style="68" customWidth="1"/>
    <col min="9991" max="9991" width="1" style="68" customWidth="1"/>
    <col min="9992" max="9992" width="3.5703125" style="68" customWidth="1"/>
    <col min="9993" max="9993" width="12.7109375" style="68" customWidth="1"/>
    <col min="9994" max="9994" width="4.140625" style="68" customWidth="1"/>
    <col min="9995" max="9995" width="0.7109375" style="68" customWidth="1"/>
    <col min="9996" max="9996" width="4" style="68" customWidth="1"/>
    <col min="9997" max="9997" width="11.42578125" style="68"/>
    <col min="9998" max="9998" width="4.28515625" style="68" customWidth="1"/>
    <col min="9999" max="10240" width="11.42578125" style="68"/>
    <col min="10241" max="10241" width="1" style="68" customWidth="1"/>
    <col min="10242" max="10242" width="31.42578125" style="68" customWidth="1"/>
    <col min="10243" max="10243" width="9.7109375" style="68" customWidth="1"/>
    <col min="10244" max="10244" width="2.140625" style="68" customWidth="1"/>
    <col min="10245" max="10245" width="15.7109375" style="68" customWidth="1"/>
    <col min="10246" max="10246" width="2" style="68" customWidth="1"/>
    <col min="10247" max="10247" width="1" style="68" customWidth="1"/>
    <col min="10248" max="10248" width="3.5703125" style="68" customWidth="1"/>
    <col min="10249" max="10249" width="12.7109375" style="68" customWidth="1"/>
    <col min="10250" max="10250" width="4.140625" style="68" customWidth="1"/>
    <col min="10251" max="10251" width="0.7109375" style="68" customWidth="1"/>
    <col min="10252" max="10252" width="4" style="68" customWidth="1"/>
    <col min="10253" max="10253" width="11.42578125" style="68"/>
    <col min="10254" max="10254" width="4.28515625" style="68" customWidth="1"/>
    <col min="10255" max="10496" width="11.42578125" style="68"/>
    <col min="10497" max="10497" width="1" style="68" customWidth="1"/>
    <col min="10498" max="10498" width="31.42578125" style="68" customWidth="1"/>
    <col min="10499" max="10499" width="9.7109375" style="68" customWidth="1"/>
    <col min="10500" max="10500" width="2.140625" style="68" customWidth="1"/>
    <col min="10501" max="10501" width="15.7109375" style="68" customWidth="1"/>
    <col min="10502" max="10502" width="2" style="68" customWidth="1"/>
    <col min="10503" max="10503" width="1" style="68" customWidth="1"/>
    <col min="10504" max="10504" width="3.5703125" style="68" customWidth="1"/>
    <col min="10505" max="10505" width="12.7109375" style="68" customWidth="1"/>
    <col min="10506" max="10506" width="4.140625" style="68" customWidth="1"/>
    <col min="10507" max="10507" width="0.7109375" style="68" customWidth="1"/>
    <col min="10508" max="10508" width="4" style="68" customWidth="1"/>
    <col min="10509" max="10509" width="11.42578125" style="68"/>
    <col min="10510" max="10510" width="4.28515625" style="68" customWidth="1"/>
    <col min="10511" max="10752" width="11.42578125" style="68"/>
    <col min="10753" max="10753" width="1" style="68" customWidth="1"/>
    <col min="10754" max="10754" width="31.42578125" style="68" customWidth="1"/>
    <col min="10755" max="10755" width="9.7109375" style="68" customWidth="1"/>
    <col min="10756" max="10756" width="2.140625" style="68" customWidth="1"/>
    <col min="10757" max="10757" width="15.7109375" style="68" customWidth="1"/>
    <col min="10758" max="10758" width="2" style="68" customWidth="1"/>
    <col min="10759" max="10759" width="1" style="68" customWidth="1"/>
    <col min="10760" max="10760" width="3.5703125" style="68" customWidth="1"/>
    <col min="10761" max="10761" width="12.7109375" style="68" customWidth="1"/>
    <col min="10762" max="10762" width="4.140625" style="68" customWidth="1"/>
    <col min="10763" max="10763" width="0.7109375" style="68" customWidth="1"/>
    <col min="10764" max="10764" width="4" style="68" customWidth="1"/>
    <col min="10765" max="10765" width="11.42578125" style="68"/>
    <col min="10766" max="10766" width="4.28515625" style="68" customWidth="1"/>
    <col min="10767" max="11008" width="11.42578125" style="68"/>
    <col min="11009" max="11009" width="1" style="68" customWidth="1"/>
    <col min="11010" max="11010" width="31.42578125" style="68" customWidth="1"/>
    <col min="11011" max="11011" width="9.7109375" style="68" customWidth="1"/>
    <col min="11012" max="11012" width="2.140625" style="68" customWidth="1"/>
    <col min="11013" max="11013" width="15.7109375" style="68" customWidth="1"/>
    <col min="11014" max="11014" width="2" style="68" customWidth="1"/>
    <col min="11015" max="11015" width="1" style="68" customWidth="1"/>
    <col min="11016" max="11016" width="3.5703125" style="68" customWidth="1"/>
    <col min="11017" max="11017" width="12.7109375" style="68" customWidth="1"/>
    <col min="11018" max="11018" width="4.140625" style="68" customWidth="1"/>
    <col min="11019" max="11019" width="0.7109375" style="68" customWidth="1"/>
    <col min="11020" max="11020" width="4" style="68" customWidth="1"/>
    <col min="11021" max="11021" width="11.42578125" style="68"/>
    <col min="11022" max="11022" width="4.28515625" style="68" customWidth="1"/>
    <col min="11023" max="11264" width="11.42578125" style="68"/>
    <col min="11265" max="11265" width="1" style="68" customWidth="1"/>
    <col min="11266" max="11266" width="31.42578125" style="68" customWidth="1"/>
    <col min="11267" max="11267" width="9.7109375" style="68" customWidth="1"/>
    <col min="11268" max="11268" width="2.140625" style="68" customWidth="1"/>
    <col min="11269" max="11269" width="15.7109375" style="68" customWidth="1"/>
    <col min="11270" max="11270" width="2" style="68" customWidth="1"/>
    <col min="11271" max="11271" width="1" style="68" customWidth="1"/>
    <col min="11272" max="11272" width="3.5703125" style="68" customWidth="1"/>
    <col min="11273" max="11273" width="12.7109375" style="68" customWidth="1"/>
    <col min="11274" max="11274" width="4.140625" style="68" customWidth="1"/>
    <col min="11275" max="11275" width="0.7109375" style="68" customWidth="1"/>
    <col min="11276" max="11276" width="4" style="68" customWidth="1"/>
    <col min="11277" max="11277" width="11.42578125" style="68"/>
    <col min="11278" max="11278" width="4.28515625" style="68" customWidth="1"/>
    <col min="11279" max="11520" width="11.42578125" style="68"/>
    <col min="11521" max="11521" width="1" style="68" customWidth="1"/>
    <col min="11522" max="11522" width="31.42578125" style="68" customWidth="1"/>
    <col min="11523" max="11523" width="9.7109375" style="68" customWidth="1"/>
    <col min="11524" max="11524" width="2.140625" style="68" customWidth="1"/>
    <col min="11525" max="11525" width="15.7109375" style="68" customWidth="1"/>
    <col min="11526" max="11526" width="2" style="68" customWidth="1"/>
    <col min="11527" max="11527" width="1" style="68" customWidth="1"/>
    <col min="11528" max="11528" width="3.5703125" style="68" customWidth="1"/>
    <col min="11529" max="11529" width="12.7109375" style="68" customWidth="1"/>
    <col min="11530" max="11530" width="4.140625" style="68" customWidth="1"/>
    <col min="11531" max="11531" width="0.7109375" style="68" customWidth="1"/>
    <col min="11532" max="11532" width="4" style="68" customWidth="1"/>
    <col min="11533" max="11533" width="11.42578125" style="68"/>
    <col min="11534" max="11534" width="4.28515625" style="68" customWidth="1"/>
    <col min="11535" max="11776" width="11.42578125" style="68"/>
    <col min="11777" max="11777" width="1" style="68" customWidth="1"/>
    <col min="11778" max="11778" width="31.42578125" style="68" customWidth="1"/>
    <col min="11779" max="11779" width="9.7109375" style="68" customWidth="1"/>
    <col min="11780" max="11780" width="2.140625" style="68" customWidth="1"/>
    <col min="11781" max="11781" width="15.7109375" style="68" customWidth="1"/>
    <col min="11782" max="11782" width="2" style="68" customWidth="1"/>
    <col min="11783" max="11783" width="1" style="68" customWidth="1"/>
    <col min="11784" max="11784" width="3.5703125" style="68" customWidth="1"/>
    <col min="11785" max="11785" width="12.7109375" style="68" customWidth="1"/>
    <col min="11786" max="11786" width="4.140625" style="68" customWidth="1"/>
    <col min="11787" max="11787" width="0.7109375" style="68" customWidth="1"/>
    <col min="11788" max="11788" width="4" style="68" customWidth="1"/>
    <col min="11789" max="11789" width="11.42578125" style="68"/>
    <col min="11790" max="11790" width="4.28515625" style="68" customWidth="1"/>
    <col min="11791" max="12032" width="11.42578125" style="68"/>
    <col min="12033" max="12033" width="1" style="68" customWidth="1"/>
    <col min="12034" max="12034" width="31.42578125" style="68" customWidth="1"/>
    <col min="12035" max="12035" width="9.7109375" style="68" customWidth="1"/>
    <col min="12036" max="12036" width="2.140625" style="68" customWidth="1"/>
    <col min="12037" max="12037" width="15.7109375" style="68" customWidth="1"/>
    <col min="12038" max="12038" width="2" style="68" customWidth="1"/>
    <col min="12039" max="12039" width="1" style="68" customWidth="1"/>
    <col min="12040" max="12040" width="3.5703125" style="68" customWidth="1"/>
    <col min="12041" max="12041" width="12.7109375" style="68" customWidth="1"/>
    <col min="12042" max="12042" width="4.140625" style="68" customWidth="1"/>
    <col min="12043" max="12043" width="0.7109375" style="68" customWidth="1"/>
    <col min="12044" max="12044" width="4" style="68" customWidth="1"/>
    <col min="12045" max="12045" width="11.42578125" style="68"/>
    <col min="12046" max="12046" width="4.28515625" style="68" customWidth="1"/>
    <col min="12047" max="12288" width="11.42578125" style="68"/>
    <col min="12289" max="12289" width="1" style="68" customWidth="1"/>
    <col min="12290" max="12290" width="31.42578125" style="68" customWidth="1"/>
    <col min="12291" max="12291" width="9.7109375" style="68" customWidth="1"/>
    <col min="12292" max="12292" width="2.140625" style="68" customWidth="1"/>
    <col min="12293" max="12293" width="15.7109375" style="68" customWidth="1"/>
    <col min="12294" max="12294" width="2" style="68" customWidth="1"/>
    <col min="12295" max="12295" width="1" style="68" customWidth="1"/>
    <col min="12296" max="12296" width="3.5703125" style="68" customWidth="1"/>
    <col min="12297" max="12297" width="12.7109375" style="68" customWidth="1"/>
    <col min="12298" max="12298" width="4.140625" style="68" customWidth="1"/>
    <col min="12299" max="12299" width="0.7109375" style="68" customWidth="1"/>
    <col min="12300" max="12300" width="4" style="68" customWidth="1"/>
    <col min="12301" max="12301" width="11.42578125" style="68"/>
    <col min="12302" max="12302" width="4.28515625" style="68" customWidth="1"/>
    <col min="12303" max="12544" width="11.42578125" style="68"/>
    <col min="12545" max="12545" width="1" style="68" customWidth="1"/>
    <col min="12546" max="12546" width="31.42578125" style="68" customWidth="1"/>
    <col min="12547" max="12547" width="9.7109375" style="68" customWidth="1"/>
    <col min="12548" max="12548" width="2.140625" style="68" customWidth="1"/>
    <col min="12549" max="12549" width="15.7109375" style="68" customWidth="1"/>
    <col min="12550" max="12550" width="2" style="68" customWidth="1"/>
    <col min="12551" max="12551" width="1" style="68" customWidth="1"/>
    <col min="12552" max="12552" width="3.5703125" style="68" customWidth="1"/>
    <col min="12553" max="12553" width="12.7109375" style="68" customWidth="1"/>
    <col min="12554" max="12554" width="4.140625" style="68" customWidth="1"/>
    <col min="12555" max="12555" width="0.7109375" style="68" customWidth="1"/>
    <col min="12556" max="12556" width="4" style="68" customWidth="1"/>
    <col min="12557" max="12557" width="11.42578125" style="68"/>
    <col min="12558" max="12558" width="4.28515625" style="68" customWidth="1"/>
    <col min="12559" max="12800" width="11.42578125" style="68"/>
    <col min="12801" max="12801" width="1" style="68" customWidth="1"/>
    <col min="12802" max="12802" width="31.42578125" style="68" customWidth="1"/>
    <col min="12803" max="12803" width="9.7109375" style="68" customWidth="1"/>
    <col min="12804" max="12804" width="2.140625" style="68" customWidth="1"/>
    <col min="12805" max="12805" width="15.7109375" style="68" customWidth="1"/>
    <col min="12806" max="12806" width="2" style="68" customWidth="1"/>
    <col min="12807" max="12807" width="1" style="68" customWidth="1"/>
    <col min="12808" max="12808" width="3.5703125" style="68" customWidth="1"/>
    <col min="12809" max="12809" width="12.7109375" style="68" customWidth="1"/>
    <col min="12810" max="12810" width="4.140625" style="68" customWidth="1"/>
    <col min="12811" max="12811" width="0.7109375" style="68" customWidth="1"/>
    <col min="12812" max="12812" width="4" style="68" customWidth="1"/>
    <col min="12813" max="12813" width="11.42578125" style="68"/>
    <col min="12814" max="12814" width="4.28515625" style="68" customWidth="1"/>
    <col min="12815" max="13056" width="11.42578125" style="68"/>
    <col min="13057" max="13057" width="1" style="68" customWidth="1"/>
    <col min="13058" max="13058" width="31.42578125" style="68" customWidth="1"/>
    <col min="13059" max="13059" width="9.7109375" style="68" customWidth="1"/>
    <col min="13060" max="13060" width="2.140625" style="68" customWidth="1"/>
    <col min="13061" max="13061" width="15.7109375" style="68" customWidth="1"/>
    <col min="13062" max="13062" width="2" style="68" customWidth="1"/>
    <col min="13063" max="13063" width="1" style="68" customWidth="1"/>
    <col min="13064" max="13064" width="3.5703125" style="68" customWidth="1"/>
    <col min="13065" max="13065" width="12.7109375" style="68" customWidth="1"/>
    <col min="13066" max="13066" width="4.140625" style="68" customWidth="1"/>
    <col min="13067" max="13067" width="0.7109375" style="68" customWidth="1"/>
    <col min="13068" max="13068" width="4" style="68" customWidth="1"/>
    <col min="13069" max="13069" width="11.42578125" style="68"/>
    <col min="13070" max="13070" width="4.28515625" style="68" customWidth="1"/>
    <col min="13071" max="13312" width="11.42578125" style="68"/>
    <col min="13313" max="13313" width="1" style="68" customWidth="1"/>
    <col min="13314" max="13314" width="31.42578125" style="68" customWidth="1"/>
    <col min="13315" max="13315" width="9.7109375" style="68" customWidth="1"/>
    <col min="13316" max="13316" width="2.140625" style="68" customWidth="1"/>
    <col min="13317" max="13317" width="15.7109375" style="68" customWidth="1"/>
    <col min="13318" max="13318" width="2" style="68" customWidth="1"/>
    <col min="13319" max="13319" width="1" style="68" customWidth="1"/>
    <col min="13320" max="13320" width="3.5703125" style="68" customWidth="1"/>
    <col min="13321" max="13321" width="12.7109375" style="68" customWidth="1"/>
    <col min="13322" max="13322" width="4.140625" style="68" customWidth="1"/>
    <col min="13323" max="13323" width="0.7109375" style="68" customWidth="1"/>
    <col min="13324" max="13324" width="4" style="68" customWidth="1"/>
    <col min="13325" max="13325" width="11.42578125" style="68"/>
    <col min="13326" max="13326" width="4.28515625" style="68" customWidth="1"/>
    <col min="13327" max="13568" width="11.42578125" style="68"/>
    <col min="13569" max="13569" width="1" style="68" customWidth="1"/>
    <col min="13570" max="13570" width="31.42578125" style="68" customWidth="1"/>
    <col min="13571" max="13571" width="9.7109375" style="68" customWidth="1"/>
    <col min="13572" max="13572" width="2.140625" style="68" customWidth="1"/>
    <col min="13573" max="13573" width="15.7109375" style="68" customWidth="1"/>
    <col min="13574" max="13574" width="2" style="68" customWidth="1"/>
    <col min="13575" max="13575" width="1" style="68" customWidth="1"/>
    <col min="13576" max="13576" width="3.5703125" style="68" customWidth="1"/>
    <col min="13577" max="13577" width="12.7109375" style="68" customWidth="1"/>
    <col min="13578" max="13578" width="4.140625" style="68" customWidth="1"/>
    <col min="13579" max="13579" width="0.7109375" style="68" customWidth="1"/>
    <col min="13580" max="13580" width="4" style="68" customWidth="1"/>
    <col min="13581" max="13581" width="11.42578125" style="68"/>
    <col min="13582" max="13582" width="4.28515625" style="68" customWidth="1"/>
    <col min="13583" max="13824" width="11.42578125" style="68"/>
    <col min="13825" max="13825" width="1" style="68" customWidth="1"/>
    <col min="13826" max="13826" width="31.42578125" style="68" customWidth="1"/>
    <col min="13827" max="13827" width="9.7109375" style="68" customWidth="1"/>
    <col min="13828" max="13828" width="2.140625" style="68" customWidth="1"/>
    <col min="13829" max="13829" width="15.7109375" style="68" customWidth="1"/>
    <col min="13830" max="13830" width="2" style="68" customWidth="1"/>
    <col min="13831" max="13831" width="1" style="68" customWidth="1"/>
    <col min="13832" max="13832" width="3.5703125" style="68" customWidth="1"/>
    <col min="13833" max="13833" width="12.7109375" style="68" customWidth="1"/>
    <col min="13834" max="13834" width="4.140625" style="68" customWidth="1"/>
    <col min="13835" max="13835" width="0.7109375" style="68" customWidth="1"/>
    <col min="13836" max="13836" width="4" style="68" customWidth="1"/>
    <col min="13837" max="13837" width="11.42578125" style="68"/>
    <col min="13838" max="13838" width="4.28515625" style="68" customWidth="1"/>
    <col min="13839" max="14080" width="11.42578125" style="68"/>
    <col min="14081" max="14081" width="1" style="68" customWidth="1"/>
    <col min="14082" max="14082" width="31.42578125" style="68" customWidth="1"/>
    <col min="14083" max="14083" width="9.7109375" style="68" customWidth="1"/>
    <col min="14084" max="14084" width="2.140625" style="68" customWidth="1"/>
    <col min="14085" max="14085" width="15.7109375" style="68" customWidth="1"/>
    <col min="14086" max="14086" width="2" style="68" customWidth="1"/>
    <col min="14087" max="14087" width="1" style="68" customWidth="1"/>
    <col min="14088" max="14088" width="3.5703125" style="68" customWidth="1"/>
    <col min="14089" max="14089" width="12.7109375" style="68" customWidth="1"/>
    <col min="14090" max="14090" width="4.140625" style="68" customWidth="1"/>
    <col min="14091" max="14091" width="0.7109375" style="68" customWidth="1"/>
    <col min="14092" max="14092" width="4" style="68" customWidth="1"/>
    <col min="14093" max="14093" width="11.42578125" style="68"/>
    <col min="14094" max="14094" width="4.28515625" style="68" customWidth="1"/>
    <col min="14095" max="14336" width="11.42578125" style="68"/>
    <col min="14337" max="14337" width="1" style="68" customWidth="1"/>
    <col min="14338" max="14338" width="31.42578125" style="68" customWidth="1"/>
    <col min="14339" max="14339" width="9.7109375" style="68" customWidth="1"/>
    <col min="14340" max="14340" width="2.140625" style="68" customWidth="1"/>
    <col min="14341" max="14341" width="15.7109375" style="68" customWidth="1"/>
    <col min="14342" max="14342" width="2" style="68" customWidth="1"/>
    <col min="14343" max="14343" width="1" style="68" customWidth="1"/>
    <col min="14344" max="14344" width="3.5703125" style="68" customWidth="1"/>
    <col min="14345" max="14345" width="12.7109375" style="68" customWidth="1"/>
    <col min="14346" max="14346" width="4.140625" style="68" customWidth="1"/>
    <col min="14347" max="14347" width="0.7109375" style="68" customWidth="1"/>
    <col min="14348" max="14348" width="4" style="68" customWidth="1"/>
    <col min="14349" max="14349" width="11.42578125" style="68"/>
    <col min="14350" max="14350" width="4.28515625" style="68" customWidth="1"/>
    <col min="14351" max="14592" width="11.42578125" style="68"/>
    <col min="14593" max="14593" width="1" style="68" customWidth="1"/>
    <col min="14594" max="14594" width="31.42578125" style="68" customWidth="1"/>
    <col min="14595" max="14595" width="9.7109375" style="68" customWidth="1"/>
    <col min="14596" max="14596" width="2.140625" style="68" customWidth="1"/>
    <col min="14597" max="14597" width="15.7109375" style="68" customWidth="1"/>
    <col min="14598" max="14598" width="2" style="68" customWidth="1"/>
    <col min="14599" max="14599" width="1" style="68" customWidth="1"/>
    <col min="14600" max="14600" width="3.5703125" style="68" customWidth="1"/>
    <col min="14601" max="14601" width="12.7109375" style="68" customWidth="1"/>
    <col min="14602" max="14602" width="4.140625" style="68" customWidth="1"/>
    <col min="14603" max="14603" width="0.7109375" style="68" customWidth="1"/>
    <col min="14604" max="14604" width="4" style="68" customWidth="1"/>
    <col min="14605" max="14605" width="11.42578125" style="68"/>
    <col min="14606" max="14606" width="4.28515625" style="68" customWidth="1"/>
    <col min="14607" max="14848" width="11.42578125" style="68"/>
    <col min="14849" max="14849" width="1" style="68" customWidth="1"/>
    <col min="14850" max="14850" width="31.42578125" style="68" customWidth="1"/>
    <col min="14851" max="14851" width="9.7109375" style="68" customWidth="1"/>
    <col min="14852" max="14852" width="2.140625" style="68" customWidth="1"/>
    <col min="14853" max="14853" width="15.7109375" style="68" customWidth="1"/>
    <col min="14854" max="14854" width="2" style="68" customWidth="1"/>
    <col min="14855" max="14855" width="1" style="68" customWidth="1"/>
    <col min="14856" max="14856" width="3.5703125" style="68" customWidth="1"/>
    <col min="14857" max="14857" width="12.7109375" style="68" customWidth="1"/>
    <col min="14858" max="14858" width="4.140625" style="68" customWidth="1"/>
    <col min="14859" max="14859" width="0.7109375" style="68" customWidth="1"/>
    <col min="14860" max="14860" width="4" style="68" customWidth="1"/>
    <col min="14861" max="14861" width="11.42578125" style="68"/>
    <col min="14862" max="14862" width="4.28515625" style="68" customWidth="1"/>
    <col min="14863" max="15104" width="11.42578125" style="68"/>
    <col min="15105" max="15105" width="1" style="68" customWidth="1"/>
    <col min="15106" max="15106" width="31.42578125" style="68" customWidth="1"/>
    <col min="15107" max="15107" width="9.7109375" style="68" customWidth="1"/>
    <col min="15108" max="15108" width="2.140625" style="68" customWidth="1"/>
    <col min="15109" max="15109" width="15.7109375" style="68" customWidth="1"/>
    <col min="15110" max="15110" width="2" style="68" customWidth="1"/>
    <col min="15111" max="15111" width="1" style="68" customWidth="1"/>
    <col min="15112" max="15112" width="3.5703125" style="68" customWidth="1"/>
    <col min="15113" max="15113" width="12.7109375" style="68" customWidth="1"/>
    <col min="15114" max="15114" width="4.140625" style="68" customWidth="1"/>
    <col min="15115" max="15115" width="0.7109375" style="68" customWidth="1"/>
    <col min="15116" max="15116" width="4" style="68" customWidth="1"/>
    <col min="15117" max="15117" width="11.42578125" style="68"/>
    <col min="15118" max="15118" width="4.28515625" style="68" customWidth="1"/>
    <col min="15119" max="15360" width="11.42578125" style="68"/>
    <col min="15361" max="15361" width="1" style="68" customWidth="1"/>
    <col min="15362" max="15362" width="31.42578125" style="68" customWidth="1"/>
    <col min="15363" max="15363" width="9.7109375" style="68" customWidth="1"/>
    <col min="15364" max="15364" width="2.140625" style="68" customWidth="1"/>
    <col min="15365" max="15365" width="15.7109375" style="68" customWidth="1"/>
    <col min="15366" max="15366" width="2" style="68" customWidth="1"/>
    <col min="15367" max="15367" width="1" style="68" customWidth="1"/>
    <col min="15368" max="15368" width="3.5703125" style="68" customWidth="1"/>
    <col min="15369" max="15369" width="12.7109375" style="68" customWidth="1"/>
    <col min="15370" max="15370" width="4.140625" style="68" customWidth="1"/>
    <col min="15371" max="15371" width="0.7109375" style="68" customWidth="1"/>
    <col min="15372" max="15372" width="4" style="68" customWidth="1"/>
    <col min="15373" max="15373" width="11.42578125" style="68"/>
    <col min="15374" max="15374" width="4.28515625" style="68" customWidth="1"/>
    <col min="15375" max="15616" width="11.42578125" style="68"/>
    <col min="15617" max="15617" width="1" style="68" customWidth="1"/>
    <col min="15618" max="15618" width="31.42578125" style="68" customWidth="1"/>
    <col min="15619" max="15619" width="9.7109375" style="68" customWidth="1"/>
    <col min="15620" max="15620" width="2.140625" style="68" customWidth="1"/>
    <col min="15621" max="15621" width="15.7109375" style="68" customWidth="1"/>
    <col min="15622" max="15622" width="2" style="68" customWidth="1"/>
    <col min="15623" max="15623" width="1" style="68" customWidth="1"/>
    <col min="15624" max="15624" width="3.5703125" style="68" customWidth="1"/>
    <col min="15625" max="15625" width="12.7109375" style="68" customWidth="1"/>
    <col min="15626" max="15626" width="4.140625" style="68" customWidth="1"/>
    <col min="15627" max="15627" width="0.7109375" style="68" customWidth="1"/>
    <col min="15628" max="15628" width="4" style="68" customWidth="1"/>
    <col min="15629" max="15629" width="11.42578125" style="68"/>
    <col min="15630" max="15630" width="4.28515625" style="68" customWidth="1"/>
    <col min="15631" max="15872" width="11.42578125" style="68"/>
    <col min="15873" max="15873" width="1" style="68" customWidth="1"/>
    <col min="15874" max="15874" width="31.42578125" style="68" customWidth="1"/>
    <col min="15875" max="15875" width="9.7109375" style="68" customWidth="1"/>
    <col min="15876" max="15876" width="2.140625" style="68" customWidth="1"/>
    <col min="15877" max="15877" width="15.7109375" style="68" customWidth="1"/>
    <col min="15878" max="15878" width="2" style="68" customWidth="1"/>
    <col min="15879" max="15879" width="1" style="68" customWidth="1"/>
    <col min="15880" max="15880" width="3.5703125" style="68" customWidth="1"/>
    <col min="15881" max="15881" width="12.7109375" style="68" customWidth="1"/>
    <col min="15882" max="15882" width="4.140625" style="68" customWidth="1"/>
    <col min="15883" max="15883" width="0.7109375" style="68" customWidth="1"/>
    <col min="15884" max="15884" width="4" style="68" customWidth="1"/>
    <col min="15885" max="15885" width="11.42578125" style="68"/>
    <col min="15886" max="15886" width="4.28515625" style="68" customWidth="1"/>
    <col min="15887" max="16128" width="11.42578125" style="68"/>
    <col min="16129" max="16129" width="1" style="68" customWidth="1"/>
    <col min="16130" max="16130" width="31.42578125" style="68" customWidth="1"/>
    <col min="16131" max="16131" width="9.7109375" style="68" customWidth="1"/>
    <col min="16132" max="16132" width="2.140625" style="68" customWidth="1"/>
    <col min="16133" max="16133" width="15.7109375" style="68" customWidth="1"/>
    <col min="16134" max="16134" width="2" style="68" customWidth="1"/>
    <col min="16135" max="16135" width="1" style="68" customWidth="1"/>
    <col min="16136" max="16136" width="3.5703125" style="68" customWidth="1"/>
    <col min="16137" max="16137" width="12.7109375" style="68" customWidth="1"/>
    <col min="16138" max="16138" width="4.140625" style="68" customWidth="1"/>
    <col min="16139" max="16139" width="0.7109375" style="68" customWidth="1"/>
    <col min="16140" max="16140" width="4" style="68" customWidth="1"/>
    <col min="16141" max="16141" width="11.42578125" style="68"/>
    <col min="16142" max="16142" width="4.28515625" style="68" customWidth="1"/>
    <col min="16143" max="16384" width="11.42578125" style="68"/>
  </cols>
  <sheetData>
    <row r="1" spans="1:15" ht="41.25" customHeight="1" x14ac:dyDescent="0.2">
      <c r="A1" s="365" t="s">
        <v>289</v>
      </c>
      <c r="B1" s="365"/>
      <c r="C1" s="365"/>
      <c r="D1" s="365"/>
      <c r="E1" s="365"/>
      <c r="F1" s="365"/>
      <c r="G1" s="365"/>
      <c r="H1" s="365"/>
      <c r="I1" s="365"/>
      <c r="J1" s="365"/>
      <c r="K1" s="365"/>
      <c r="L1" s="365"/>
      <c r="M1" s="365"/>
      <c r="N1" s="365"/>
      <c r="O1" s="365"/>
    </row>
    <row r="2" spans="1:15" ht="23.25" x14ac:dyDescent="0.35">
      <c r="A2" s="182"/>
      <c r="B2" s="108"/>
      <c r="C2" s="108"/>
      <c r="D2" s="211"/>
      <c r="E2" s="211"/>
      <c r="F2" s="108"/>
      <c r="G2" s="108"/>
      <c r="H2" s="161"/>
      <c r="I2" s="161"/>
      <c r="J2" s="161"/>
      <c r="K2" s="161"/>
      <c r="L2" s="161"/>
      <c r="M2" s="108"/>
      <c r="N2" s="108"/>
      <c r="O2" s="108"/>
    </row>
    <row r="3" spans="1:15" ht="19.5" customHeight="1" x14ac:dyDescent="0.2">
      <c r="A3" s="371" t="s">
        <v>290</v>
      </c>
      <c r="B3" s="371"/>
      <c r="C3" s="371"/>
      <c r="D3" s="371"/>
      <c r="E3" s="371"/>
      <c r="F3" s="371"/>
      <c r="G3" s="371"/>
      <c r="H3" s="371"/>
      <c r="I3" s="371"/>
      <c r="J3" s="371"/>
      <c r="K3" s="371"/>
      <c r="L3" s="371"/>
      <c r="M3" s="371"/>
      <c r="N3" s="371"/>
      <c r="O3" s="108"/>
    </row>
    <row r="4" spans="1:15" ht="14.25" x14ac:dyDescent="0.2">
      <c r="A4" s="136"/>
      <c r="B4" s="136"/>
      <c r="C4" s="136"/>
      <c r="D4" s="136"/>
      <c r="E4" s="136"/>
      <c r="F4" s="136"/>
      <c r="G4" s="136"/>
      <c r="H4" s="165"/>
      <c r="I4" s="165"/>
      <c r="J4" s="165"/>
      <c r="K4" s="165"/>
      <c r="L4" s="165"/>
      <c r="M4" s="136"/>
      <c r="N4" s="136"/>
      <c r="O4" s="108"/>
    </row>
    <row r="5" spans="1:15" ht="15" x14ac:dyDescent="0.25">
      <c r="A5" s="136"/>
      <c r="B5" s="136"/>
      <c r="C5" s="136"/>
      <c r="D5" s="386" t="s">
        <v>291</v>
      </c>
      <c r="E5" s="387"/>
      <c r="F5" s="387"/>
      <c r="G5" s="233"/>
      <c r="H5" s="380" t="s">
        <v>292</v>
      </c>
      <c r="I5" s="381"/>
      <c r="J5" s="382"/>
      <c r="K5" s="233"/>
      <c r="L5" s="387" t="s">
        <v>293</v>
      </c>
      <c r="M5" s="387"/>
      <c r="N5" s="390"/>
      <c r="O5" s="108"/>
    </row>
    <row r="6" spans="1:15" ht="15" x14ac:dyDescent="0.25">
      <c r="A6" s="136"/>
      <c r="B6" s="136"/>
      <c r="C6" s="136"/>
      <c r="D6" s="388"/>
      <c r="E6" s="389"/>
      <c r="F6" s="389"/>
      <c r="G6" s="234"/>
      <c r="H6" s="383"/>
      <c r="I6" s="384"/>
      <c r="J6" s="385"/>
      <c r="K6" s="235"/>
      <c r="L6" s="389"/>
      <c r="M6" s="389"/>
      <c r="N6" s="391"/>
      <c r="O6" s="108"/>
    </row>
    <row r="7" spans="1:15" ht="15" x14ac:dyDescent="0.25">
      <c r="A7" s="136"/>
      <c r="B7" s="136"/>
      <c r="C7" s="188" t="s">
        <v>309</v>
      </c>
      <c r="D7" s="220"/>
      <c r="E7" s="167"/>
      <c r="F7" s="167"/>
      <c r="G7" s="165"/>
      <c r="H7" s="230"/>
      <c r="I7" s="167"/>
      <c r="J7" s="225"/>
      <c r="K7" s="195"/>
      <c r="L7" s="166"/>
      <c r="M7" s="167"/>
      <c r="N7" s="227"/>
      <c r="O7" s="108"/>
    </row>
    <row r="8" spans="1:15" ht="15" x14ac:dyDescent="0.25">
      <c r="A8" s="136"/>
      <c r="B8" s="136" t="s">
        <v>188</v>
      </c>
      <c r="C8" s="150"/>
      <c r="D8" s="220"/>
      <c r="E8" s="166" t="s">
        <v>264</v>
      </c>
      <c r="F8" s="166"/>
      <c r="G8" s="195"/>
      <c r="H8" s="230"/>
      <c r="I8" s="166" t="s">
        <v>294</v>
      </c>
      <c r="J8" s="225"/>
      <c r="K8" s="195"/>
      <c r="L8" s="166"/>
      <c r="M8" s="141"/>
      <c r="N8" s="227"/>
      <c r="O8" s="108"/>
    </row>
    <row r="9" spans="1:15" ht="6" customHeight="1" x14ac:dyDescent="0.25">
      <c r="A9" s="136"/>
      <c r="B9" s="136"/>
      <c r="C9" s="150"/>
      <c r="D9" s="220"/>
      <c r="E9" s="167"/>
      <c r="F9" s="167"/>
      <c r="G9" s="165"/>
      <c r="H9" s="230"/>
      <c r="I9" s="167"/>
      <c r="J9" s="225"/>
      <c r="K9" s="195"/>
      <c r="L9" s="166"/>
      <c r="M9" s="167"/>
      <c r="N9" s="227"/>
      <c r="O9" s="108"/>
    </row>
    <row r="10" spans="1:15" ht="15" x14ac:dyDescent="0.25">
      <c r="A10" s="136"/>
      <c r="B10" s="136" t="s">
        <v>308</v>
      </c>
      <c r="C10" s="150"/>
      <c r="D10" s="220"/>
      <c r="E10" s="167"/>
      <c r="F10" s="167"/>
      <c r="G10" s="165"/>
      <c r="H10" s="230"/>
      <c r="I10" s="167" t="str">
        <f>INDEX(Sustitución!A34:A37,Sustitución!D13,1)</f>
        <v>220 W</v>
      </c>
      <c r="J10" s="225"/>
      <c r="K10" s="195"/>
      <c r="L10" s="166"/>
      <c r="M10" s="167" t="str">
        <f>IF(Sustitución!D1=1,INDEX(Sustitución!A7:A10,Sustitución!D13,1),IF(Sustitución!D1=2,INDEX(Sustitución!A19:A22,Sustitución!D13,1),IF(AND(Sustitución!D1=3,OR(Sustitución!D13=2,Sustitución!D13=3,Sustitución!D13=4)=TRUE)=TRUE,INDEX(Sustitución!A25:A27,(Sustitución!D13-1),1),"Pas de lampe compatible")))</f>
        <v>100 W</v>
      </c>
      <c r="N10" s="227"/>
      <c r="O10" s="108"/>
    </row>
    <row r="11" spans="1:15" ht="8.25" customHeight="1" x14ac:dyDescent="0.25">
      <c r="A11" s="136"/>
      <c r="B11" s="136"/>
      <c r="C11" s="150"/>
      <c r="D11" s="220"/>
      <c r="E11" s="167"/>
      <c r="F11" s="167"/>
      <c r="G11" s="165"/>
      <c r="H11" s="230"/>
      <c r="I11" s="167"/>
      <c r="J11" s="225"/>
      <c r="K11" s="195"/>
      <c r="L11" s="166"/>
      <c r="M11" s="167"/>
      <c r="N11" s="227"/>
      <c r="O11" s="108"/>
    </row>
    <row r="12" spans="1:15" ht="15.75" customHeight="1" x14ac:dyDescent="0.25">
      <c r="A12" s="136"/>
      <c r="B12" s="136" t="s">
        <v>191</v>
      </c>
      <c r="C12" s="188" t="s">
        <v>192</v>
      </c>
      <c r="D12" s="221"/>
      <c r="E12" s="194">
        <v>5</v>
      </c>
      <c r="F12" s="222"/>
      <c r="G12" s="214"/>
      <c r="H12" s="220"/>
      <c r="I12" s="167">
        <f>E12</f>
        <v>5</v>
      </c>
      <c r="J12" s="225"/>
      <c r="K12" s="195"/>
      <c r="L12" s="166"/>
      <c r="M12" s="167">
        <f>E12</f>
        <v>5</v>
      </c>
      <c r="N12" s="227"/>
      <c r="O12" s="108"/>
    </row>
    <row r="13" spans="1:15" ht="6.75" customHeight="1" x14ac:dyDescent="0.25">
      <c r="A13" s="136"/>
      <c r="B13" s="136"/>
      <c r="C13" s="188"/>
      <c r="D13" s="221"/>
      <c r="E13" s="193"/>
      <c r="F13" s="222"/>
      <c r="G13" s="214"/>
      <c r="H13" s="220"/>
      <c r="I13" s="167"/>
      <c r="J13" s="225"/>
      <c r="K13" s="195"/>
      <c r="L13" s="166"/>
      <c r="M13" s="167"/>
      <c r="N13" s="227"/>
      <c r="O13" s="108"/>
    </row>
    <row r="14" spans="1:15" ht="15" x14ac:dyDescent="0.25">
      <c r="A14" s="136"/>
      <c r="B14" s="136" t="s">
        <v>311</v>
      </c>
      <c r="C14" s="188" t="s">
        <v>141</v>
      </c>
      <c r="D14" s="221"/>
      <c r="E14" s="194">
        <v>12</v>
      </c>
      <c r="F14" s="222"/>
      <c r="G14" s="214"/>
      <c r="H14" s="220"/>
      <c r="I14" s="167">
        <f>E14</f>
        <v>12</v>
      </c>
      <c r="J14" s="225"/>
      <c r="K14" s="195"/>
      <c r="L14" s="166"/>
      <c r="M14" s="167">
        <f>E14</f>
        <v>12</v>
      </c>
      <c r="N14" s="227"/>
      <c r="O14" s="108"/>
    </row>
    <row r="15" spans="1:15" ht="3.75" customHeight="1" x14ac:dyDescent="0.25">
      <c r="A15" s="136"/>
      <c r="B15" s="136"/>
      <c r="C15" s="188"/>
      <c r="D15" s="221"/>
      <c r="E15" s="193"/>
      <c r="F15" s="222"/>
      <c r="G15" s="214"/>
      <c r="H15" s="220"/>
      <c r="I15" s="167"/>
      <c r="J15" s="225"/>
      <c r="K15" s="195"/>
      <c r="L15" s="166"/>
      <c r="M15" s="167"/>
      <c r="N15" s="227"/>
      <c r="O15" s="108"/>
    </row>
    <row r="16" spans="1:15" ht="15" x14ac:dyDescent="0.25">
      <c r="A16" s="136"/>
      <c r="B16" s="136"/>
      <c r="C16" s="188" t="s">
        <v>310</v>
      </c>
      <c r="D16" s="221"/>
      <c r="E16" s="194">
        <v>300</v>
      </c>
      <c r="F16" s="222"/>
      <c r="G16" s="214"/>
      <c r="H16" s="220"/>
      <c r="I16" s="167">
        <f>E16</f>
        <v>300</v>
      </c>
      <c r="J16" s="225"/>
      <c r="K16" s="195"/>
      <c r="L16" s="166"/>
      <c r="M16" s="167">
        <f>E16</f>
        <v>300</v>
      </c>
      <c r="N16" s="227"/>
      <c r="O16" s="109"/>
    </row>
    <row r="17" spans="1:15" ht="5.25" customHeight="1" x14ac:dyDescent="0.25">
      <c r="A17" s="136"/>
      <c r="B17" s="136"/>
      <c r="C17" s="188"/>
      <c r="D17" s="221"/>
      <c r="E17" s="193"/>
      <c r="F17" s="222"/>
      <c r="G17" s="214"/>
      <c r="H17" s="220"/>
      <c r="I17" s="167"/>
      <c r="J17" s="225"/>
      <c r="K17" s="195"/>
      <c r="L17" s="166"/>
      <c r="M17" s="167"/>
      <c r="N17" s="227"/>
      <c r="O17" s="109"/>
    </row>
    <row r="18" spans="1:15" ht="15" x14ac:dyDescent="0.25">
      <c r="A18" s="136"/>
      <c r="B18" s="136" t="s">
        <v>312</v>
      </c>
      <c r="C18" s="188" t="s">
        <v>220</v>
      </c>
      <c r="D18" s="221"/>
      <c r="E18" s="194">
        <v>2</v>
      </c>
      <c r="F18" s="222"/>
      <c r="G18" s="214"/>
      <c r="H18" s="220"/>
      <c r="I18" s="167">
        <f>E18</f>
        <v>2</v>
      </c>
      <c r="J18" s="225"/>
      <c r="K18" s="195"/>
      <c r="L18" s="166"/>
      <c r="M18" s="167">
        <f>E18</f>
        <v>2</v>
      </c>
      <c r="N18" s="227"/>
      <c r="O18" s="109"/>
    </row>
    <row r="19" spans="1:15" ht="54.75" customHeight="1" x14ac:dyDescent="0.25">
      <c r="A19" s="136"/>
      <c r="B19" s="378" t="s">
        <v>345</v>
      </c>
      <c r="C19" s="379"/>
      <c r="D19" s="221"/>
      <c r="E19" s="193"/>
      <c r="F19" s="222"/>
      <c r="G19" s="214"/>
      <c r="H19" s="220"/>
      <c r="I19" s="166"/>
      <c r="J19" s="225"/>
      <c r="K19" s="195"/>
      <c r="L19" s="166"/>
      <c r="M19" s="166"/>
      <c r="N19" s="227"/>
      <c r="O19" s="109"/>
    </row>
    <row r="20" spans="1:15" ht="15" x14ac:dyDescent="0.25">
      <c r="A20" s="136"/>
      <c r="B20" s="136" t="s">
        <v>348</v>
      </c>
      <c r="C20" s="188" t="s">
        <v>129</v>
      </c>
      <c r="D20" s="221"/>
      <c r="E20" s="242">
        <v>5000</v>
      </c>
      <c r="F20" s="222"/>
      <c r="G20" s="214"/>
      <c r="H20" s="220"/>
      <c r="I20" s="242">
        <v>5000</v>
      </c>
      <c r="J20" s="224"/>
      <c r="K20" s="165"/>
      <c r="L20" s="167"/>
      <c r="M20" s="242">
        <v>5000</v>
      </c>
      <c r="N20" s="227"/>
      <c r="O20" s="108"/>
    </row>
    <row r="21" spans="1:15" ht="14.25" x14ac:dyDescent="0.2">
      <c r="A21" s="136"/>
      <c r="B21" s="113" t="s">
        <v>313</v>
      </c>
      <c r="C21" s="236" t="s">
        <v>129</v>
      </c>
      <c r="D21" s="237"/>
      <c r="E21" s="243">
        <f>Sustitución!A41</f>
        <v>9000</v>
      </c>
      <c r="F21" s="176"/>
      <c r="G21" s="236"/>
      <c r="H21" s="238"/>
      <c r="I21" s="243">
        <f>Sustitución!B41</f>
        <v>16000</v>
      </c>
      <c r="J21" s="239"/>
      <c r="K21" s="240"/>
      <c r="L21" s="241"/>
      <c r="M21" s="243">
        <f>IF(Sustitución!D1=1,16000,IF(Sustitución!D1=2,28000,12000))</f>
        <v>12000</v>
      </c>
      <c r="N21" s="227"/>
      <c r="O21" s="212"/>
    </row>
    <row r="22" spans="1:15" ht="14.25" x14ac:dyDescent="0.2">
      <c r="A22" s="136"/>
      <c r="B22" s="113"/>
      <c r="C22" s="236"/>
      <c r="D22" s="237"/>
      <c r="E22" s="176"/>
      <c r="F22" s="176"/>
      <c r="G22" s="236"/>
      <c r="H22" s="238"/>
      <c r="I22" s="243"/>
      <c r="J22" s="239"/>
      <c r="K22" s="240"/>
      <c r="L22" s="241"/>
      <c r="M22" s="176"/>
      <c r="N22" s="227"/>
      <c r="O22" s="212"/>
    </row>
    <row r="23" spans="1:15" ht="14.25" x14ac:dyDescent="0.2">
      <c r="A23" s="136"/>
      <c r="B23" s="113"/>
      <c r="C23" s="236"/>
      <c r="D23" s="176"/>
      <c r="E23" s="176"/>
      <c r="F23" s="176"/>
      <c r="G23" s="236"/>
      <c r="H23" s="183"/>
      <c r="I23" s="243"/>
      <c r="J23" s="241"/>
      <c r="K23" s="240"/>
      <c r="L23" s="241"/>
      <c r="M23" s="176"/>
      <c r="N23" s="141"/>
      <c r="O23" s="212"/>
    </row>
    <row r="24" spans="1:15" ht="15" x14ac:dyDescent="0.2">
      <c r="A24" s="371" t="s">
        <v>316</v>
      </c>
      <c r="B24" s="371"/>
      <c r="C24" s="371"/>
      <c r="D24" s="371"/>
      <c r="E24" s="371"/>
      <c r="F24" s="371"/>
      <c r="G24" s="371"/>
      <c r="H24" s="371"/>
      <c r="I24" s="371"/>
      <c r="J24" s="371"/>
      <c r="K24" s="371"/>
      <c r="L24" s="371"/>
      <c r="M24" s="371"/>
      <c r="N24" s="371"/>
      <c r="O24" s="212"/>
    </row>
    <row r="25" spans="1:15" ht="4.5" customHeight="1" x14ac:dyDescent="0.2">
      <c r="A25" s="136"/>
      <c r="B25" s="113"/>
      <c r="C25" s="236"/>
      <c r="D25" s="176"/>
      <c r="E25" s="176"/>
      <c r="F25" s="176"/>
      <c r="G25" s="236"/>
      <c r="H25" s="183"/>
      <c r="I25" s="243"/>
      <c r="J25" s="241"/>
      <c r="K25" s="240"/>
      <c r="L25" s="241"/>
      <c r="M25" s="176"/>
      <c r="N25" s="141"/>
      <c r="O25" s="212"/>
    </row>
    <row r="26" spans="1:15" ht="15" x14ac:dyDescent="0.25">
      <c r="A26" s="136"/>
      <c r="B26" s="140" t="s">
        <v>317</v>
      </c>
      <c r="C26" s="165"/>
      <c r="D26" s="221"/>
      <c r="E26" s="141"/>
      <c r="F26" s="141"/>
      <c r="G26" s="136"/>
      <c r="H26" s="221"/>
      <c r="I26" s="167"/>
      <c r="J26" s="224"/>
      <c r="K26" s="165"/>
      <c r="L26" s="167"/>
      <c r="M26" s="167"/>
      <c r="N26" s="227"/>
      <c r="O26" s="108"/>
    </row>
    <row r="27" spans="1:15" ht="6.75" customHeight="1" x14ac:dyDescent="0.25">
      <c r="A27" s="136"/>
      <c r="B27" s="140"/>
      <c r="C27" s="165"/>
      <c r="D27" s="221"/>
      <c r="E27" s="141"/>
      <c r="F27" s="141"/>
      <c r="G27" s="136"/>
      <c r="H27" s="221"/>
      <c r="I27" s="167"/>
      <c r="J27" s="224"/>
      <c r="K27" s="165"/>
      <c r="L27" s="167"/>
      <c r="M27" s="167"/>
      <c r="N27" s="227"/>
      <c r="O27" s="108"/>
    </row>
    <row r="28" spans="1:15" ht="14.25" x14ac:dyDescent="0.2">
      <c r="A28" s="136"/>
      <c r="B28" s="136" t="s">
        <v>194</v>
      </c>
      <c r="C28" s="165" t="s">
        <v>288</v>
      </c>
      <c r="D28" s="221"/>
      <c r="E28" s="255"/>
      <c r="F28" s="167"/>
      <c r="G28" s="165"/>
      <c r="H28" s="221"/>
      <c r="I28" s="255"/>
      <c r="J28" s="224"/>
      <c r="K28" s="165"/>
      <c r="L28" s="167"/>
      <c r="M28" s="255"/>
      <c r="N28" s="227"/>
      <c r="O28" s="108"/>
    </row>
    <row r="29" spans="1:15" s="117" customFormat="1" ht="5.25" customHeight="1" x14ac:dyDescent="0.2">
      <c r="A29" s="154"/>
      <c r="B29" s="244" t="s">
        <v>203</v>
      </c>
      <c r="C29" s="245"/>
      <c r="D29" s="246"/>
      <c r="E29" s="247">
        <f>Sustitución!A44</f>
        <v>0</v>
      </c>
      <c r="F29" s="248"/>
      <c r="G29" s="245"/>
      <c r="H29" s="246"/>
      <c r="I29" s="247">
        <f>Sustitución!B44</f>
        <v>54</v>
      </c>
      <c r="J29" s="249"/>
      <c r="K29" s="245"/>
      <c r="L29" s="248"/>
      <c r="M29" s="247">
        <f>Sustitución!C44</f>
        <v>0</v>
      </c>
      <c r="N29" s="250"/>
      <c r="O29" s="118"/>
    </row>
    <row r="30" spans="1:15" ht="14.25" x14ac:dyDescent="0.2">
      <c r="A30" s="136"/>
      <c r="B30" s="136" t="s">
        <v>318</v>
      </c>
      <c r="C30" s="165" t="s">
        <v>288</v>
      </c>
      <c r="D30" s="221"/>
      <c r="E30" s="223" t="s">
        <v>204</v>
      </c>
      <c r="F30" s="223"/>
      <c r="G30" s="217"/>
      <c r="H30" s="221"/>
      <c r="I30" s="290">
        <v>200</v>
      </c>
      <c r="J30" s="224"/>
      <c r="K30" s="165"/>
      <c r="L30" s="167"/>
      <c r="M30" s="291"/>
      <c r="N30" s="227"/>
      <c r="O30" s="108"/>
    </row>
    <row r="31" spans="1:15" ht="6" customHeight="1" x14ac:dyDescent="0.2">
      <c r="A31" s="136"/>
      <c r="B31" s="154"/>
      <c r="C31" s="245"/>
      <c r="D31" s="246"/>
      <c r="E31" s="251"/>
      <c r="F31" s="251"/>
      <c r="G31" s="252"/>
      <c r="H31" s="246"/>
      <c r="I31" s="251"/>
      <c r="J31" s="249"/>
      <c r="K31" s="245"/>
      <c r="L31" s="248"/>
      <c r="M31" s="247">
        <f>Sustitución!D49</f>
        <v>41.8</v>
      </c>
      <c r="N31" s="227"/>
      <c r="O31" s="108"/>
    </row>
    <row r="32" spans="1:15" ht="14.25" customHeight="1" x14ac:dyDescent="0.25">
      <c r="A32" s="136"/>
      <c r="B32" s="213" t="s">
        <v>319</v>
      </c>
      <c r="C32" s="165" t="s">
        <v>218</v>
      </c>
      <c r="D32" s="221"/>
      <c r="E32" s="223" t="s">
        <v>204</v>
      </c>
      <c r="F32" s="223"/>
      <c r="G32" s="217"/>
      <c r="H32" s="230"/>
      <c r="I32" s="255">
        <v>50</v>
      </c>
      <c r="J32" s="225"/>
      <c r="K32" s="195"/>
      <c r="L32" s="166"/>
      <c r="M32" s="255"/>
      <c r="N32" s="227"/>
      <c r="O32" s="108"/>
    </row>
    <row r="33" spans="1:15" ht="4.5" customHeight="1" x14ac:dyDescent="0.25">
      <c r="A33" s="136"/>
      <c r="B33" s="213"/>
      <c r="C33" s="165"/>
      <c r="D33" s="221"/>
      <c r="E33" s="223"/>
      <c r="F33" s="223"/>
      <c r="G33" s="217"/>
      <c r="H33" s="230"/>
      <c r="I33" s="256"/>
      <c r="J33" s="225"/>
      <c r="K33" s="195"/>
      <c r="L33" s="166"/>
      <c r="M33" s="256"/>
      <c r="N33" s="227"/>
      <c r="O33" s="108"/>
    </row>
    <row r="34" spans="1:15" ht="17.25" customHeight="1" x14ac:dyDescent="0.25">
      <c r="A34" s="136"/>
      <c r="B34" s="136" t="s">
        <v>320</v>
      </c>
      <c r="C34" s="165" t="s">
        <v>288</v>
      </c>
      <c r="D34" s="220"/>
      <c r="E34" s="223" t="s">
        <v>204</v>
      </c>
      <c r="F34" s="223"/>
      <c r="G34" s="217"/>
      <c r="H34" s="230"/>
      <c r="I34" s="173">
        <f>(I28+I32)*I12</f>
        <v>250</v>
      </c>
      <c r="J34" s="253"/>
      <c r="K34" s="254"/>
      <c r="L34" s="173"/>
      <c r="M34" s="173">
        <f>IF(M10&lt;&gt;"No hay lámpara compatible",(M28+M32+M30)*M12,0)</f>
        <v>0</v>
      </c>
      <c r="N34" s="227"/>
      <c r="O34" s="108"/>
    </row>
    <row r="35" spans="1:15" ht="14.25" x14ac:dyDescent="0.2">
      <c r="A35" s="136"/>
      <c r="B35" s="113"/>
      <c r="C35" s="236"/>
      <c r="D35" s="176"/>
      <c r="E35" s="176"/>
      <c r="F35" s="176"/>
      <c r="G35" s="236"/>
      <c r="H35" s="183"/>
      <c r="I35" s="243"/>
      <c r="J35" s="241"/>
      <c r="K35" s="240"/>
      <c r="L35" s="241"/>
      <c r="M35" s="176"/>
      <c r="N35" s="141"/>
      <c r="O35" s="212"/>
    </row>
    <row r="36" spans="1:15" ht="15" x14ac:dyDescent="0.2">
      <c r="A36" s="371" t="s">
        <v>315</v>
      </c>
      <c r="B36" s="371"/>
      <c r="C36" s="371"/>
      <c r="D36" s="371"/>
      <c r="E36" s="371"/>
      <c r="F36" s="371"/>
      <c r="G36" s="371"/>
      <c r="H36" s="371"/>
      <c r="I36" s="371"/>
      <c r="J36" s="371"/>
      <c r="K36" s="371"/>
      <c r="L36" s="371"/>
      <c r="M36" s="371"/>
      <c r="N36" s="371"/>
      <c r="O36" s="212"/>
    </row>
    <row r="37" spans="1:15" ht="9" customHeight="1" x14ac:dyDescent="0.25">
      <c r="A37" s="136"/>
      <c r="B37" s="140"/>
      <c r="C37" s="150"/>
      <c r="D37" s="220"/>
      <c r="E37" s="167"/>
      <c r="F37" s="167"/>
      <c r="G37" s="165"/>
      <c r="H37" s="230"/>
      <c r="I37" s="167"/>
      <c r="J37" s="225"/>
      <c r="K37" s="195"/>
      <c r="L37" s="166"/>
      <c r="M37" s="167"/>
      <c r="N37" s="227"/>
      <c r="O37" s="108"/>
    </row>
    <row r="38" spans="1:15" ht="15" x14ac:dyDescent="0.25">
      <c r="A38" s="136"/>
      <c r="B38" s="136" t="s">
        <v>283</v>
      </c>
      <c r="C38" s="188" t="s">
        <v>226</v>
      </c>
      <c r="D38" s="221"/>
      <c r="E38" s="180">
        <f>E12*INDEX(Sustitución!B13:B16,Sustitución!D13,1)*'6. MAE Sustitucion'!E14*'6. MAE Sustitucion'!E16*1.1/1000</f>
        <v>4950</v>
      </c>
      <c r="F38" s="168"/>
      <c r="G38" s="215"/>
      <c r="H38" s="231"/>
      <c r="I38" s="180">
        <f>I12*INDEX(Sustitución!B34:B37,Sustitución!D13,1)*'6. MAE Sustitucion'!I14*'6. MAE Sustitucion'!I16*1.1/1000</f>
        <v>4158.0000000000009</v>
      </c>
      <c r="J38" s="228"/>
      <c r="K38" s="216"/>
      <c r="L38" s="190"/>
      <c r="M38" s="180">
        <f>IF(Sustitución!D1=1,INDEX(Sustitución!B7:B10,Sustitución!D13,1),IF(Sustitución!D1=2,INDEX(Sustitución!B19:B22,Sustitución!D13,1),IF(AND(Sustitución!D1=3,OR(Sustitución!D13=2,Sustitución!D13=3,Sustitución!D13=4)=TRUE)=TRUE,INDEX(Sustitución!B25:B27,(Sustitución!D13-1),1),0)))*'6. MAE Sustitucion'!M14*'6. MAE Sustitucion'!M16*1.1/1000</f>
        <v>396.00000000000006</v>
      </c>
      <c r="N38" s="227"/>
      <c r="O38" s="108"/>
    </row>
    <row r="39" spans="1:15" ht="3.75" customHeight="1" x14ac:dyDescent="0.25">
      <c r="A39" s="136"/>
      <c r="B39" s="136"/>
      <c r="C39" s="188"/>
      <c r="D39" s="221"/>
      <c r="E39" s="168"/>
      <c r="F39" s="168"/>
      <c r="G39" s="215"/>
      <c r="H39" s="231"/>
      <c r="I39" s="168"/>
      <c r="J39" s="228"/>
      <c r="K39" s="216"/>
      <c r="L39" s="190"/>
      <c r="M39" s="168"/>
      <c r="N39" s="227"/>
      <c r="O39" s="108"/>
    </row>
    <row r="40" spans="1:15" ht="15" x14ac:dyDescent="0.25">
      <c r="A40" s="136"/>
      <c r="B40" s="160" t="s">
        <v>314</v>
      </c>
      <c r="C40" s="260" t="s">
        <v>226</v>
      </c>
      <c r="D40" s="261"/>
      <c r="E40" s="170"/>
      <c r="F40" s="170"/>
      <c r="G40" s="259"/>
      <c r="H40" s="257"/>
      <c r="I40" s="262">
        <f>E38-I38</f>
        <v>791.99999999999909</v>
      </c>
      <c r="J40" s="258"/>
      <c r="K40" s="259"/>
      <c r="L40" s="170"/>
      <c r="M40" s="262">
        <f>E38-M38</f>
        <v>4554</v>
      </c>
      <c r="N40" s="227"/>
      <c r="O40" s="108"/>
    </row>
    <row r="41" spans="1:15" ht="6" customHeight="1" x14ac:dyDescent="0.25">
      <c r="A41" s="136"/>
      <c r="B41" s="136"/>
      <c r="C41" s="188"/>
      <c r="D41" s="221"/>
      <c r="E41" s="168"/>
      <c r="F41" s="168"/>
      <c r="G41" s="215"/>
      <c r="H41" s="231"/>
      <c r="I41" s="168"/>
      <c r="J41" s="228"/>
      <c r="K41" s="216"/>
      <c r="L41" s="190"/>
      <c r="M41" s="168"/>
      <c r="N41" s="227"/>
      <c r="O41" s="108"/>
    </row>
    <row r="42" spans="1:15" ht="15" x14ac:dyDescent="0.25">
      <c r="A42" s="136"/>
      <c r="B42" s="136" t="s">
        <v>281</v>
      </c>
      <c r="C42" s="188" t="s">
        <v>225</v>
      </c>
      <c r="D42" s="221"/>
      <c r="E42" s="173">
        <f>E38*E18</f>
        <v>9900</v>
      </c>
      <c r="F42" s="168"/>
      <c r="G42" s="215"/>
      <c r="H42" s="231"/>
      <c r="I42" s="173">
        <f>I38*I18</f>
        <v>8316.0000000000018</v>
      </c>
      <c r="J42" s="228"/>
      <c r="K42" s="216"/>
      <c r="L42" s="190"/>
      <c r="M42" s="173">
        <f>M38*M18</f>
        <v>792.00000000000011</v>
      </c>
      <c r="N42" s="227"/>
      <c r="O42" s="108"/>
    </row>
    <row r="43" spans="1:15" ht="4.5" customHeight="1" x14ac:dyDescent="0.25">
      <c r="A43" s="136"/>
      <c r="B43" s="136"/>
      <c r="C43" s="188"/>
      <c r="D43" s="221"/>
      <c r="E43" s="168"/>
      <c r="F43" s="168"/>
      <c r="G43" s="215"/>
      <c r="H43" s="231"/>
      <c r="I43" s="168"/>
      <c r="J43" s="228"/>
      <c r="K43" s="216"/>
      <c r="L43" s="190"/>
      <c r="M43" s="168"/>
      <c r="N43" s="227"/>
      <c r="O43" s="108"/>
    </row>
    <row r="44" spans="1:15" ht="15" x14ac:dyDescent="0.25">
      <c r="A44" s="136"/>
      <c r="B44" s="136" t="s">
        <v>321</v>
      </c>
      <c r="C44" s="188" t="s">
        <v>225</v>
      </c>
      <c r="D44" s="221"/>
      <c r="E44" s="173">
        <f>IF(E20=0,"",(E28+$I$32)/E20*E14*E16)</f>
        <v>36</v>
      </c>
      <c r="F44" s="168"/>
      <c r="G44" s="215"/>
      <c r="H44" s="231"/>
      <c r="I44" s="173">
        <f>IF(I20=0,"",(I28+$I$32)/I20*I14*I16)</f>
        <v>36</v>
      </c>
      <c r="J44" s="228"/>
      <c r="K44" s="216"/>
      <c r="L44" s="190"/>
      <c r="M44" s="173">
        <f>IF(M20=0,"",IF(M10&lt;&gt;"No hay lámpara compatible",(M28+$I$32)/M20*M14*M16,0))</f>
        <v>36</v>
      </c>
      <c r="N44" s="227"/>
      <c r="O44" s="108"/>
    </row>
    <row r="45" spans="1:15" ht="6" customHeight="1" x14ac:dyDescent="0.25">
      <c r="A45" s="136"/>
      <c r="B45" s="136"/>
      <c r="C45" s="188"/>
      <c r="D45" s="221"/>
      <c r="E45" s="168"/>
      <c r="F45" s="168"/>
      <c r="G45" s="215"/>
      <c r="H45" s="231"/>
      <c r="I45" s="168"/>
      <c r="J45" s="228"/>
      <c r="K45" s="216"/>
      <c r="L45" s="190"/>
      <c r="M45" s="168"/>
      <c r="N45" s="227"/>
      <c r="O45" s="108"/>
    </row>
    <row r="46" spans="1:15" ht="14.25" x14ac:dyDescent="0.2">
      <c r="A46" s="136"/>
      <c r="B46" s="136" t="s">
        <v>322</v>
      </c>
      <c r="C46" s="188" t="s">
        <v>225</v>
      </c>
      <c r="D46" s="221"/>
      <c r="E46" s="173">
        <f>SUM(E42:E44)</f>
        <v>9936</v>
      </c>
      <c r="F46" s="168"/>
      <c r="G46" s="215"/>
      <c r="H46" s="232"/>
      <c r="I46" s="173">
        <f>SUM(I42:I44)</f>
        <v>8352.0000000000018</v>
      </c>
      <c r="J46" s="226"/>
      <c r="K46" s="215"/>
      <c r="L46" s="168"/>
      <c r="M46" s="173">
        <f>SUM(M42:M44)</f>
        <v>828.00000000000011</v>
      </c>
      <c r="N46" s="227"/>
      <c r="O46" s="108"/>
    </row>
    <row r="47" spans="1:15" ht="6" customHeight="1" x14ac:dyDescent="0.2">
      <c r="A47" s="136"/>
      <c r="B47" s="136"/>
      <c r="C47" s="188"/>
      <c r="D47" s="221"/>
      <c r="E47" s="168"/>
      <c r="F47" s="168"/>
      <c r="G47" s="215"/>
      <c r="H47" s="232"/>
      <c r="I47" s="168"/>
      <c r="J47" s="226"/>
      <c r="K47" s="215"/>
      <c r="L47" s="168"/>
      <c r="M47" s="168"/>
      <c r="N47" s="227"/>
      <c r="O47" s="108"/>
    </row>
    <row r="48" spans="1:15" ht="15" x14ac:dyDescent="0.25">
      <c r="A48" s="136"/>
      <c r="B48" s="160" t="s">
        <v>233</v>
      </c>
      <c r="C48" s="260" t="s">
        <v>225</v>
      </c>
      <c r="D48" s="261"/>
      <c r="E48" s="170"/>
      <c r="F48" s="168"/>
      <c r="G48" s="215"/>
      <c r="H48" s="232"/>
      <c r="I48" s="174">
        <f>E46-I46</f>
        <v>1583.9999999999982</v>
      </c>
      <c r="J48" s="226"/>
      <c r="K48" s="215"/>
      <c r="L48" s="168"/>
      <c r="M48" s="174">
        <f>IF(M10&lt;&gt;"No hay lámpara compatible",E46-M46,0)</f>
        <v>9108</v>
      </c>
      <c r="N48" s="227"/>
      <c r="O48" s="108"/>
    </row>
    <row r="49" spans="1:15" ht="6" customHeight="1" x14ac:dyDescent="0.25">
      <c r="A49" s="136"/>
      <c r="B49" s="136"/>
      <c r="C49" s="136"/>
      <c r="D49" s="220"/>
      <c r="E49" s="141"/>
      <c r="F49" s="141"/>
      <c r="G49" s="136"/>
      <c r="H49" s="230"/>
      <c r="I49" s="167"/>
      <c r="J49" s="225"/>
      <c r="K49" s="195"/>
      <c r="L49" s="166"/>
      <c r="M49" s="141"/>
      <c r="N49" s="227"/>
      <c r="O49" s="108"/>
    </row>
    <row r="50" spans="1:15" ht="15" x14ac:dyDescent="0.25">
      <c r="A50" s="136"/>
      <c r="B50" s="136" t="s">
        <v>323</v>
      </c>
      <c r="C50" s="165" t="s">
        <v>285</v>
      </c>
      <c r="D50" s="221"/>
      <c r="E50" s="141"/>
      <c r="F50" s="141"/>
      <c r="G50" s="227"/>
      <c r="H50" s="166"/>
      <c r="I50" s="263">
        <f>IF(I48=0,"",I34/I48)</f>
        <v>0.15782828282828301</v>
      </c>
      <c r="J50" s="229"/>
      <c r="K50" s="218"/>
      <c r="L50" s="196"/>
      <c r="M50" s="263">
        <f>IF(M48=0,"",IF(M10&lt;&gt;"No hay lámpara compatible",M34/M48,0))</f>
        <v>0</v>
      </c>
      <c r="N50" s="227"/>
      <c r="O50" s="108"/>
    </row>
    <row r="51" spans="1:15" ht="8.25" customHeight="1" x14ac:dyDescent="0.2">
      <c r="A51" s="108"/>
      <c r="B51" s="108"/>
      <c r="C51" s="264"/>
      <c r="D51" s="108"/>
      <c r="E51" s="108"/>
      <c r="F51" s="108"/>
      <c r="G51" s="264"/>
      <c r="H51" s="161"/>
      <c r="I51" s="161"/>
      <c r="J51" s="269"/>
      <c r="K51" s="161"/>
      <c r="L51" s="161"/>
      <c r="M51" s="108"/>
      <c r="N51" s="264"/>
      <c r="O51" s="108"/>
    </row>
    <row r="52" spans="1:15" ht="15" customHeight="1" x14ac:dyDescent="0.25">
      <c r="A52" s="108"/>
      <c r="B52" s="189" t="s">
        <v>234</v>
      </c>
      <c r="C52" s="266" t="s">
        <v>237</v>
      </c>
      <c r="D52" s="207"/>
      <c r="E52" s="108"/>
      <c r="F52" s="108"/>
      <c r="G52" s="264"/>
      <c r="H52" s="161"/>
      <c r="I52" s="262">
        <f>I40*E54</f>
        <v>395.20799999999957</v>
      </c>
      <c r="J52" s="269"/>
      <c r="K52" s="161"/>
      <c r="L52" s="161"/>
      <c r="M52" s="262">
        <f>M40*E54</f>
        <v>2272.4459999999999</v>
      </c>
      <c r="N52" s="264"/>
      <c r="O52" s="108"/>
    </row>
    <row r="53" spans="1:15" ht="5.25" customHeight="1" x14ac:dyDescent="0.25">
      <c r="A53" s="108"/>
      <c r="B53" s="143"/>
      <c r="C53" s="267"/>
      <c r="D53" s="116"/>
      <c r="E53" s="170"/>
      <c r="F53" s="210"/>
      <c r="G53" s="265"/>
      <c r="H53" s="161"/>
      <c r="I53" s="161"/>
      <c r="J53" s="269"/>
      <c r="K53" s="161"/>
      <c r="L53" s="161"/>
      <c r="M53" s="108"/>
      <c r="N53" s="264"/>
      <c r="O53" s="108"/>
    </row>
    <row r="54" spans="1:15" ht="15.75" customHeight="1" x14ac:dyDescent="0.3">
      <c r="A54" s="108"/>
      <c r="B54" s="208" t="s">
        <v>235</v>
      </c>
      <c r="C54" s="268" t="s">
        <v>236</v>
      </c>
      <c r="D54" s="208"/>
      <c r="E54" s="177">
        <v>0.499</v>
      </c>
      <c r="F54" s="108"/>
      <c r="G54" s="264"/>
      <c r="H54" s="161"/>
      <c r="I54" s="161"/>
      <c r="J54" s="269"/>
      <c r="K54" s="161"/>
      <c r="L54" s="161"/>
      <c r="M54" s="108"/>
      <c r="N54" s="264"/>
      <c r="O54" s="108"/>
    </row>
    <row r="55" spans="1:15" x14ac:dyDescent="0.2">
      <c r="A55" s="108"/>
      <c r="B55" s="356" t="s">
        <v>346</v>
      </c>
      <c r="C55" s="356"/>
      <c r="D55" s="356"/>
      <c r="E55" s="356"/>
      <c r="F55" s="108"/>
      <c r="G55" s="108"/>
      <c r="H55" s="161"/>
      <c r="I55" s="161"/>
      <c r="J55" s="161"/>
      <c r="K55" s="161"/>
      <c r="L55" s="161"/>
      <c r="M55" s="108"/>
      <c r="N55" s="108"/>
      <c r="O55" s="108"/>
    </row>
    <row r="56" spans="1:15" x14ac:dyDescent="0.2">
      <c r="A56" s="108"/>
      <c r="B56" s="108"/>
      <c r="C56" s="108"/>
      <c r="D56" s="108"/>
      <c r="E56" s="108"/>
      <c r="F56" s="108"/>
      <c r="G56" s="108"/>
      <c r="H56" s="161"/>
      <c r="I56" s="161"/>
      <c r="J56" s="161"/>
      <c r="K56" s="161"/>
      <c r="L56" s="161"/>
      <c r="M56" s="108"/>
      <c r="N56" s="108"/>
      <c r="O56" s="108"/>
    </row>
    <row r="57" spans="1:15" x14ac:dyDescent="0.2">
      <c r="A57" s="108"/>
      <c r="B57" s="108"/>
      <c r="C57" s="108"/>
      <c r="D57" s="108"/>
      <c r="E57" s="108"/>
      <c r="F57" s="108"/>
      <c r="G57" s="108"/>
      <c r="H57" s="161"/>
      <c r="I57" s="161"/>
      <c r="J57" s="161"/>
      <c r="K57" s="161"/>
      <c r="L57" s="161"/>
      <c r="M57" s="108"/>
      <c r="N57" s="108"/>
      <c r="O57" s="108"/>
    </row>
    <row r="58" spans="1:15" x14ac:dyDescent="0.2">
      <c r="A58" s="108"/>
      <c r="B58" s="108"/>
      <c r="C58" s="108"/>
      <c r="D58" s="108"/>
      <c r="E58" s="108"/>
      <c r="F58" s="108"/>
      <c r="G58" s="108"/>
      <c r="H58" s="161"/>
      <c r="I58" s="161"/>
      <c r="J58" s="161"/>
      <c r="K58" s="161"/>
      <c r="L58" s="161"/>
      <c r="M58" s="108"/>
      <c r="N58" s="108"/>
      <c r="O58" s="108"/>
    </row>
    <row r="59" spans="1:15" ht="9.75" customHeight="1" x14ac:dyDescent="0.2">
      <c r="A59" s="108"/>
      <c r="B59" s="108"/>
      <c r="C59" s="108"/>
      <c r="D59" s="108"/>
      <c r="E59" s="108"/>
      <c r="F59" s="108"/>
      <c r="G59" s="108"/>
      <c r="H59" s="108"/>
      <c r="I59" s="108"/>
      <c r="J59" s="108"/>
      <c r="K59" s="108"/>
      <c r="L59" s="108"/>
      <c r="M59" s="108"/>
      <c r="N59" s="108"/>
      <c r="O59" s="108"/>
    </row>
    <row r="60" spans="1:15" ht="14.25" customHeight="1" x14ac:dyDescent="0.2">
      <c r="A60" s="108"/>
      <c r="B60" s="108"/>
      <c r="C60" s="108"/>
      <c r="D60" s="108"/>
      <c r="E60" s="108"/>
      <c r="F60" s="108"/>
      <c r="G60" s="108"/>
      <c r="H60" s="108"/>
      <c r="I60" s="108"/>
      <c r="J60" s="108"/>
      <c r="K60" s="108"/>
      <c r="L60" s="108"/>
      <c r="M60" s="108"/>
      <c r="N60" s="108"/>
      <c r="O60" s="108"/>
    </row>
    <row r="61" spans="1:15" ht="14.25" customHeight="1" x14ac:dyDescent="0.25">
      <c r="A61" s="136"/>
      <c r="B61" s="136"/>
      <c r="C61" s="136"/>
      <c r="D61" s="136"/>
      <c r="E61" s="136"/>
      <c r="F61" s="136"/>
      <c r="G61" s="136"/>
      <c r="H61" s="195"/>
      <c r="I61" s="165"/>
      <c r="J61" s="195"/>
      <c r="K61" s="195"/>
      <c r="L61" s="195"/>
      <c r="M61" s="136"/>
      <c r="N61" s="136"/>
      <c r="O61" s="108"/>
    </row>
    <row r="62" spans="1:15" ht="14.25" customHeight="1" x14ac:dyDescent="0.25">
      <c r="A62" s="108"/>
      <c r="B62" s="124"/>
      <c r="C62" s="108"/>
      <c r="D62" s="108"/>
      <c r="E62" s="108"/>
      <c r="F62" s="108"/>
      <c r="G62" s="108"/>
      <c r="H62" s="219"/>
      <c r="I62" s="161"/>
      <c r="J62" s="219"/>
      <c r="K62" s="219"/>
      <c r="L62" s="219"/>
      <c r="M62" s="108"/>
      <c r="N62" s="108"/>
      <c r="O62" s="108"/>
    </row>
    <row r="63" spans="1:15" ht="14.25" customHeight="1" x14ac:dyDescent="0.2">
      <c r="C63" s="75"/>
      <c r="D63" s="76"/>
      <c r="H63" s="120"/>
      <c r="I63" s="77"/>
      <c r="J63" s="120"/>
      <c r="K63" s="120"/>
      <c r="L63" s="120"/>
    </row>
    <row r="64" spans="1:15" ht="11.25" customHeight="1" x14ac:dyDescent="0.2">
      <c r="C64" s="77"/>
      <c r="H64" s="125"/>
      <c r="I64" s="77"/>
      <c r="J64" s="122"/>
      <c r="K64" s="122"/>
      <c r="L64" s="122"/>
    </row>
    <row r="65" spans="2:12" ht="15.75" customHeight="1" x14ac:dyDescent="0.2">
      <c r="H65" s="126"/>
      <c r="I65" s="121"/>
      <c r="J65" s="122"/>
      <c r="K65" s="122"/>
      <c r="L65" s="122"/>
    </row>
    <row r="66" spans="2:12" x14ac:dyDescent="0.2">
      <c r="H66" s="68"/>
      <c r="I66" s="292"/>
      <c r="J66" s="122"/>
      <c r="K66" s="122"/>
      <c r="L66" s="122"/>
    </row>
    <row r="67" spans="2:12" x14ac:dyDescent="0.2">
      <c r="H67" s="68"/>
      <c r="I67" s="292"/>
      <c r="J67" s="122"/>
      <c r="K67" s="122"/>
      <c r="L67" s="122"/>
    </row>
    <row r="68" spans="2:12" x14ac:dyDescent="0.2">
      <c r="H68" s="74"/>
      <c r="I68" s="121"/>
      <c r="J68" s="122"/>
      <c r="K68" s="122"/>
      <c r="L68" s="122"/>
    </row>
    <row r="69" spans="2:12" x14ac:dyDescent="0.2">
      <c r="H69" s="127"/>
      <c r="I69" s="121"/>
      <c r="J69" s="128"/>
      <c r="K69" s="128"/>
      <c r="L69" s="128"/>
    </row>
    <row r="70" spans="2:12" x14ac:dyDescent="0.2">
      <c r="H70" s="69"/>
      <c r="I70" s="121"/>
      <c r="J70" s="121"/>
      <c r="K70" s="121"/>
      <c r="L70" s="121"/>
    </row>
    <row r="71" spans="2:12" x14ac:dyDescent="0.2">
      <c r="H71" s="129"/>
      <c r="I71" s="121"/>
      <c r="J71" s="130"/>
      <c r="K71" s="130"/>
      <c r="L71" s="130"/>
    </row>
    <row r="72" spans="2:12" x14ac:dyDescent="0.2">
      <c r="H72" s="129"/>
      <c r="I72" s="121"/>
      <c r="J72" s="130"/>
      <c r="K72" s="130"/>
      <c r="L72" s="130"/>
    </row>
    <row r="73" spans="2:12" x14ac:dyDescent="0.2">
      <c r="H73" s="129"/>
      <c r="I73" s="121"/>
      <c r="J73" s="130"/>
      <c r="K73" s="130"/>
      <c r="L73" s="130"/>
    </row>
    <row r="74" spans="2:12" ht="12.75" customHeight="1" x14ac:dyDescent="0.2">
      <c r="H74" s="131"/>
      <c r="I74" s="121"/>
      <c r="J74" s="132"/>
      <c r="K74" s="132"/>
      <c r="L74" s="132"/>
    </row>
    <row r="75" spans="2:12" ht="4.5" customHeight="1" x14ac:dyDescent="0.2">
      <c r="H75" s="105"/>
      <c r="I75" s="121"/>
      <c r="J75" s="105"/>
      <c r="K75" s="105"/>
      <c r="L75" s="105"/>
    </row>
    <row r="76" spans="2:12" x14ac:dyDescent="0.2">
      <c r="B76" s="71"/>
      <c r="H76" s="105"/>
      <c r="J76" s="105"/>
      <c r="K76" s="105"/>
      <c r="L76" s="105"/>
    </row>
    <row r="77" spans="2:12" x14ac:dyDescent="0.2">
      <c r="H77" s="105"/>
      <c r="J77" s="105"/>
      <c r="K77" s="105"/>
      <c r="L77" s="105"/>
    </row>
    <row r="78" spans="2:12" x14ac:dyDescent="0.2">
      <c r="H78" s="105"/>
      <c r="I78" s="133"/>
      <c r="J78" s="123"/>
      <c r="K78" s="123"/>
      <c r="L78" s="123"/>
    </row>
    <row r="79" spans="2:12" x14ac:dyDescent="0.2">
      <c r="H79" s="105"/>
      <c r="I79" s="133"/>
      <c r="J79" s="123"/>
      <c r="K79" s="123"/>
      <c r="L79" s="123"/>
    </row>
    <row r="80" spans="2:12" x14ac:dyDescent="0.2">
      <c r="H80" s="105"/>
      <c r="I80" s="134"/>
      <c r="J80" s="123"/>
      <c r="K80" s="123"/>
      <c r="L80" s="123"/>
    </row>
    <row r="81" spans="2:12" ht="23.25" customHeight="1" x14ac:dyDescent="0.2">
      <c r="B81" s="71"/>
      <c r="H81" s="105"/>
      <c r="I81" s="135"/>
      <c r="J81" s="123"/>
      <c r="K81" s="123"/>
      <c r="L81" s="123"/>
    </row>
  </sheetData>
  <mergeCells count="9">
    <mergeCell ref="B55:E55"/>
    <mergeCell ref="A1:O1"/>
    <mergeCell ref="B19:C19"/>
    <mergeCell ref="A36:N36"/>
    <mergeCell ref="A24:N24"/>
    <mergeCell ref="A3:N3"/>
    <mergeCell ref="H5:J6"/>
    <mergeCell ref="D5:F6"/>
    <mergeCell ref="L5:N6"/>
  </mergeCells>
  <pageMargins left="0.78740157499999996" right="0.78740157499999996" top="1.6859375000000001" bottom="0.984251969" header="0.4921259845" footer="0.4921259845"/>
  <pageSetup scale="67" fitToHeight="0" orientation="portrait" r:id="rId1"/>
  <headerFooter alignWithMargins="0">
    <oddHeader>&amp;C&amp;G&amp;R&amp;"Arial,Negrita Cursiva"ILUMINACIÓN</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41" r:id="rId5" name="Drop Down 1">
              <controlPr locked="0" defaultSize="0" autoFill="0" autoLine="0" autoPict="0">
                <anchor moveWithCells="1">
                  <from>
                    <xdr:col>4</xdr:col>
                    <xdr:colOff>152400</xdr:colOff>
                    <xdr:row>9</xdr:row>
                    <xdr:rowOff>0</xdr:rowOff>
                  </from>
                  <to>
                    <xdr:col>4</xdr:col>
                    <xdr:colOff>942975</xdr:colOff>
                    <xdr:row>10</xdr:row>
                    <xdr:rowOff>0</xdr:rowOff>
                  </to>
                </anchor>
              </controlPr>
            </control>
          </mc:Choice>
        </mc:AlternateContent>
        <mc:AlternateContent xmlns:mc="http://schemas.openxmlformats.org/markup-compatibility/2006">
          <mc:Choice Requires="x14">
            <control shapeId="10242" r:id="rId6" name="Drop Down 2">
              <controlPr locked="0" defaultSize="0" autoFill="0" autoLine="0" autoPict="0">
                <anchor moveWithCells="1">
                  <from>
                    <xdr:col>11</xdr:col>
                    <xdr:colOff>47625</xdr:colOff>
                    <xdr:row>6</xdr:row>
                    <xdr:rowOff>152400</xdr:rowOff>
                  </from>
                  <to>
                    <xdr:col>13</xdr:col>
                    <xdr:colOff>266700</xdr:colOff>
                    <xdr:row>7</xdr:row>
                    <xdr:rowOff>152400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workbookViewId="0">
      <selection activeCell="G35" sqref="G35"/>
    </sheetView>
  </sheetViews>
  <sheetFormatPr baseColWidth="10" defaultRowHeight="12.75" x14ac:dyDescent="0.2"/>
  <cols>
    <col min="1" max="1" width="11.42578125" style="68"/>
    <col min="2" max="2" width="22.85546875" style="68" customWidth="1"/>
    <col min="3" max="257" width="11.42578125" style="68"/>
    <col min="258" max="258" width="22.85546875" style="68" customWidth="1"/>
    <col min="259" max="513" width="11.42578125" style="68"/>
    <col min="514" max="514" width="22.85546875" style="68" customWidth="1"/>
    <col min="515" max="769" width="11.42578125" style="68"/>
    <col min="770" max="770" width="22.85546875" style="68" customWidth="1"/>
    <col min="771" max="1025" width="11.42578125" style="68"/>
    <col min="1026" max="1026" width="22.85546875" style="68" customWidth="1"/>
    <col min="1027" max="1281" width="11.42578125" style="68"/>
    <col min="1282" max="1282" width="22.85546875" style="68" customWidth="1"/>
    <col min="1283" max="1537" width="11.42578125" style="68"/>
    <col min="1538" max="1538" width="22.85546875" style="68" customWidth="1"/>
    <col min="1539" max="1793" width="11.42578125" style="68"/>
    <col min="1794" max="1794" width="22.85546875" style="68" customWidth="1"/>
    <col min="1795" max="2049" width="11.42578125" style="68"/>
    <col min="2050" max="2050" width="22.85546875" style="68" customWidth="1"/>
    <col min="2051" max="2305" width="11.42578125" style="68"/>
    <col min="2306" max="2306" width="22.85546875" style="68" customWidth="1"/>
    <col min="2307" max="2561" width="11.42578125" style="68"/>
    <col min="2562" max="2562" width="22.85546875" style="68" customWidth="1"/>
    <col min="2563" max="2817" width="11.42578125" style="68"/>
    <col min="2818" max="2818" width="22.85546875" style="68" customWidth="1"/>
    <col min="2819" max="3073" width="11.42578125" style="68"/>
    <col min="3074" max="3074" width="22.85546875" style="68" customWidth="1"/>
    <col min="3075" max="3329" width="11.42578125" style="68"/>
    <col min="3330" max="3330" width="22.85546875" style="68" customWidth="1"/>
    <col min="3331" max="3585" width="11.42578125" style="68"/>
    <col min="3586" max="3586" width="22.85546875" style="68" customWidth="1"/>
    <col min="3587" max="3841" width="11.42578125" style="68"/>
    <col min="3842" max="3842" width="22.85546875" style="68" customWidth="1"/>
    <col min="3843" max="4097" width="11.42578125" style="68"/>
    <col min="4098" max="4098" width="22.85546875" style="68" customWidth="1"/>
    <col min="4099" max="4353" width="11.42578125" style="68"/>
    <col min="4354" max="4354" width="22.85546875" style="68" customWidth="1"/>
    <col min="4355" max="4609" width="11.42578125" style="68"/>
    <col min="4610" max="4610" width="22.85546875" style="68" customWidth="1"/>
    <col min="4611" max="4865" width="11.42578125" style="68"/>
    <col min="4866" max="4866" width="22.85546875" style="68" customWidth="1"/>
    <col min="4867" max="5121" width="11.42578125" style="68"/>
    <col min="5122" max="5122" width="22.85546875" style="68" customWidth="1"/>
    <col min="5123" max="5377" width="11.42578125" style="68"/>
    <col min="5378" max="5378" width="22.85546875" style="68" customWidth="1"/>
    <col min="5379" max="5633" width="11.42578125" style="68"/>
    <col min="5634" max="5634" width="22.85546875" style="68" customWidth="1"/>
    <col min="5635" max="5889" width="11.42578125" style="68"/>
    <col min="5890" max="5890" width="22.85546875" style="68" customWidth="1"/>
    <col min="5891" max="6145" width="11.42578125" style="68"/>
    <col min="6146" max="6146" width="22.85546875" style="68" customWidth="1"/>
    <col min="6147" max="6401" width="11.42578125" style="68"/>
    <col min="6402" max="6402" width="22.85546875" style="68" customWidth="1"/>
    <col min="6403" max="6657" width="11.42578125" style="68"/>
    <col min="6658" max="6658" width="22.85546875" style="68" customWidth="1"/>
    <col min="6659" max="6913" width="11.42578125" style="68"/>
    <col min="6914" max="6914" width="22.85546875" style="68" customWidth="1"/>
    <col min="6915" max="7169" width="11.42578125" style="68"/>
    <col min="7170" max="7170" width="22.85546875" style="68" customWidth="1"/>
    <col min="7171" max="7425" width="11.42578125" style="68"/>
    <col min="7426" max="7426" width="22.85546875" style="68" customWidth="1"/>
    <col min="7427" max="7681" width="11.42578125" style="68"/>
    <col min="7682" max="7682" width="22.85546875" style="68" customWidth="1"/>
    <col min="7683" max="7937" width="11.42578125" style="68"/>
    <col min="7938" max="7938" width="22.85546875" style="68" customWidth="1"/>
    <col min="7939" max="8193" width="11.42578125" style="68"/>
    <col min="8194" max="8194" width="22.85546875" style="68" customWidth="1"/>
    <col min="8195" max="8449" width="11.42578125" style="68"/>
    <col min="8450" max="8450" width="22.85546875" style="68" customWidth="1"/>
    <col min="8451" max="8705" width="11.42578125" style="68"/>
    <col min="8706" max="8706" width="22.85546875" style="68" customWidth="1"/>
    <col min="8707" max="8961" width="11.42578125" style="68"/>
    <col min="8962" max="8962" width="22.85546875" style="68" customWidth="1"/>
    <col min="8963" max="9217" width="11.42578125" style="68"/>
    <col min="9218" max="9218" width="22.85546875" style="68" customWidth="1"/>
    <col min="9219" max="9473" width="11.42578125" style="68"/>
    <col min="9474" max="9474" width="22.85546875" style="68" customWidth="1"/>
    <col min="9475" max="9729" width="11.42578125" style="68"/>
    <col min="9730" max="9730" width="22.85546875" style="68" customWidth="1"/>
    <col min="9731" max="9985" width="11.42578125" style="68"/>
    <col min="9986" max="9986" width="22.85546875" style="68" customWidth="1"/>
    <col min="9987" max="10241" width="11.42578125" style="68"/>
    <col min="10242" max="10242" width="22.85546875" style="68" customWidth="1"/>
    <col min="10243" max="10497" width="11.42578125" style="68"/>
    <col min="10498" max="10498" width="22.85546875" style="68" customWidth="1"/>
    <col min="10499" max="10753" width="11.42578125" style="68"/>
    <col min="10754" max="10754" width="22.85546875" style="68" customWidth="1"/>
    <col min="10755" max="11009" width="11.42578125" style="68"/>
    <col min="11010" max="11010" width="22.85546875" style="68" customWidth="1"/>
    <col min="11011" max="11265" width="11.42578125" style="68"/>
    <col min="11266" max="11266" width="22.85546875" style="68" customWidth="1"/>
    <col min="11267" max="11521" width="11.42578125" style="68"/>
    <col min="11522" max="11522" width="22.85546875" style="68" customWidth="1"/>
    <col min="11523" max="11777" width="11.42578125" style="68"/>
    <col min="11778" max="11778" width="22.85546875" style="68" customWidth="1"/>
    <col min="11779" max="12033" width="11.42578125" style="68"/>
    <col min="12034" max="12034" width="22.85546875" style="68" customWidth="1"/>
    <col min="12035" max="12289" width="11.42578125" style="68"/>
    <col min="12290" max="12290" width="22.85546875" style="68" customWidth="1"/>
    <col min="12291" max="12545" width="11.42578125" style="68"/>
    <col min="12546" max="12546" width="22.85546875" style="68" customWidth="1"/>
    <col min="12547" max="12801" width="11.42578125" style="68"/>
    <col min="12802" max="12802" width="22.85546875" style="68" customWidth="1"/>
    <col min="12803" max="13057" width="11.42578125" style="68"/>
    <col min="13058" max="13058" width="22.85546875" style="68" customWidth="1"/>
    <col min="13059" max="13313" width="11.42578125" style="68"/>
    <col min="13314" max="13314" width="22.85546875" style="68" customWidth="1"/>
    <col min="13315" max="13569" width="11.42578125" style="68"/>
    <col min="13570" max="13570" width="22.85546875" style="68" customWidth="1"/>
    <col min="13571" max="13825" width="11.42578125" style="68"/>
    <col min="13826" max="13826" width="22.85546875" style="68" customWidth="1"/>
    <col min="13827" max="14081" width="11.42578125" style="68"/>
    <col min="14082" max="14082" width="22.85546875" style="68" customWidth="1"/>
    <col min="14083" max="14337" width="11.42578125" style="68"/>
    <col min="14338" max="14338" width="22.85546875" style="68" customWidth="1"/>
    <col min="14339" max="14593" width="11.42578125" style="68"/>
    <col min="14594" max="14594" width="22.85546875" style="68" customWidth="1"/>
    <col min="14595" max="14849" width="11.42578125" style="68"/>
    <col min="14850" max="14850" width="22.85546875" style="68" customWidth="1"/>
    <col min="14851" max="15105" width="11.42578125" style="68"/>
    <col min="15106" max="15106" width="22.85546875" style="68" customWidth="1"/>
    <col min="15107" max="15361" width="11.42578125" style="68"/>
    <col min="15362" max="15362" width="22.85546875" style="68" customWidth="1"/>
    <col min="15363" max="15617" width="11.42578125" style="68"/>
    <col min="15618" max="15618" width="22.85546875" style="68" customWidth="1"/>
    <col min="15619" max="15873" width="11.42578125" style="68"/>
    <col min="15874" max="15874" width="22.85546875" style="68" customWidth="1"/>
    <col min="15875" max="16129" width="11.42578125" style="68"/>
    <col min="16130" max="16130" width="22.85546875" style="68" customWidth="1"/>
    <col min="16131" max="16384" width="11.42578125" style="68"/>
  </cols>
  <sheetData>
    <row r="1" spans="1:5" x14ac:dyDescent="0.2">
      <c r="A1" s="68" t="s">
        <v>295</v>
      </c>
      <c r="D1" s="68">
        <v>3</v>
      </c>
      <c r="E1" s="68" t="str">
        <f>INDEX(A1:A4,D1,1)</f>
        <v>Aditivos metálicos</v>
      </c>
    </row>
    <row r="2" spans="1:5" x14ac:dyDescent="0.2">
      <c r="A2" s="72" t="s">
        <v>296</v>
      </c>
    </row>
    <row r="3" spans="1:5" x14ac:dyDescent="0.2">
      <c r="A3" s="68" t="s">
        <v>265</v>
      </c>
    </row>
    <row r="6" spans="1:5" x14ac:dyDescent="0.2">
      <c r="A6" s="72" t="s">
        <v>297</v>
      </c>
      <c r="C6" s="68" t="s">
        <v>298</v>
      </c>
      <c r="D6" s="68" t="s">
        <v>299</v>
      </c>
      <c r="E6" s="68" t="s">
        <v>300</v>
      </c>
    </row>
    <row r="7" spans="1:5" x14ac:dyDescent="0.2">
      <c r="A7" s="68" t="s">
        <v>205</v>
      </c>
      <c r="B7" s="68">
        <v>50</v>
      </c>
      <c r="D7" s="68">
        <v>7</v>
      </c>
    </row>
    <row r="8" spans="1:5" x14ac:dyDescent="0.2">
      <c r="A8" s="68" t="s">
        <v>206</v>
      </c>
      <c r="B8" s="68">
        <v>70</v>
      </c>
    </row>
    <row r="9" spans="1:5" x14ac:dyDescent="0.2">
      <c r="A9" s="68" t="s">
        <v>207</v>
      </c>
      <c r="B9" s="68">
        <v>100</v>
      </c>
    </row>
    <row r="10" spans="1:5" x14ac:dyDescent="0.2">
      <c r="A10" s="68" t="s">
        <v>208</v>
      </c>
      <c r="B10" s="68">
        <v>150</v>
      </c>
    </row>
    <row r="12" spans="1:5" x14ac:dyDescent="0.2">
      <c r="A12" s="72" t="s">
        <v>301</v>
      </c>
      <c r="D12" s="68" t="s">
        <v>299</v>
      </c>
    </row>
    <row r="13" spans="1:5" x14ac:dyDescent="0.2">
      <c r="A13" s="68" t="s">
        <v>209</v>
      </c>
      <c r="B13" s="68">
        <v>80</v>
      </c>
      <c r="D13" s="68">
        <v>3</v>
      </c>
    </row>
    <row r="14" spans="1:5" x14ac:dyDescent="0.2">
      <c r="A14" s="68" t="s">
        <v>210</v>
      </c>
      <c r="B14" s="68">
        <v>125</v>
      </c>
    </row>
    <row r="15" spans="1:5" x14ac:dyDescent="0.2">
      <c r="A15" s="68" t="s">
        <v>211</v>
      </c>
      <c r="B15" s="68">
        <v>250</v>
      </c>
    </row>
    <row r="16" spans="1:5" x14ac:dyDescent="0.2">
      <c r="A16" s="68" t="s">
        <v>212</v>
      </c>
      <c r="B16" s="68">
        <v>400</v>
      </c>
    </row>
    <row r="18" spans="1:5" x14ac:dyDescent="0.2">
      <c r="A18" s="72" t="s">
        <v>302</v>
      </c>
    </row>
    <row r="19" spans="1:5" x14ac:dyDescent="0.2">
      <c r="A19" s="72" t="s">
        <v>205</v>
      </c>
      <c r="B19" s="68">
        <v>50</v>
      </c>
    </row>
    <row r="20" spans="1:5" x14ac:dyDescent="0.2">
      <c r="A20" s="72" t="s">
        <v>206</v>
      </c>
      <c r="B20" s="68">
        <v>70</v>
      </c>
    </row>
    <row r="21" spans="1:5" x14ac:dyDescent="0.2">
      <c r="A21" s="68" t="s">
        <v>208</v>
      </c>
      <c r="B21" s="68">
        <v>150</v>
      </c>
    </row>
    <row r="22" spans="1:5" x14ac:dyDescent="0.2">
      <c r="A22" s="68" t="s">
        <v>211</v>
      </c>
      <c r="B22" s="68">
        <v>250</v>
      </c>
    </row>
    <row r="24" spans="1:5" x14ac:dyDescent="0.2">
      <c r="A24" s="68" t="s">
        <v>303</v>
      </c>
    </row>
    <row r="25" spans="1:5" x14ac:dyDescent="0.2">
      <c r="A25" s="72" t="s">
        <v>206</v>
      </c>
      <c r="B25" s="68">
        <v>70</v>
      </c>
    </row>
    <row r="26" spans="1:5" x14ac:dyDescent="0.2">
      <c r="A26" s="72" t="s">
        <v>207</v>
      </c>
      <c r="B26" s="68">
        <v>100</v>
      </c>
    </row>
    <row r="27" spans="1:5" x14ac:dyDescent="0.2">
      <c r="A27" s="72" t="s">
        <v>208</v>
      </c>
      <c r="B27" s="68">
        <v>150</v>
      </c>
    </row>
    <row r="29" spans="1:5" x14ac:dyDescent="0.2">
      <c r="A29" s="68" t="s">
        <v>304</v>
      </c>
      <c r="D29" s="68" t="s">
        <v>299</v>
      </c>
      <c r="E29" s="68" t="s">
        <v>245</v>
      </c>
    </row>
    <row r="30" spans="1:5" x14ac:dyDescent="0.2">
      <c r="A30" s="68" t="str">
        <f>IF(D1=1,IF(D13=1,"50 W",IF(D13=2,"70 W",IF(D13=3,"100 W","250 W"))),IF(AND(D1=2,D13=3),"",""))</f>
        <v/>
      </c>
      <c r="B30" s="68" t="str">
        <f>IF(D1=1,IF(D13=1,50,IF(D13=2,70,IF(D13=3,100,250))),IF(AND(D1=2,D13=3),"",""))</f>
        <v/>
      </c>
      <c r="C30" s="68" t="str">
        <f>IF(D1=1,IF(D13=1,15.675,IF(D13=2,15.675,IF(D13=3,22.375,23.275))),IF(AND(D1=2,D13=3),"",""))</f>
        <v/>
      </c>
      <c r="D30" s="68">
        <v>2</v>
      </c>
      <c r="E30" s="68" t="str">
        <f>INDEX(B30:B31,D30,1)</f>
        <v/>
      </c>
    </row>
    <row r="31" spans="1:5" x14ac:dyDescent="0.2">
      <c r="A31" s="68" t="str">
        <f>IF(D1=1,IF(D13=1,"",IF(D13=2,"100 W",IF(D13=3,"150 W",""))),IF(AND(D1=2,D13=3),"150 W",IF(AND(D1=3,D13=4),"250 W",IF(AND(D1=2,D13=4),"250 W","(No existe!)"))))</f>
        <v>(No existe!)</v>
      </c>
      <c r="B31" s="68" t="str">
        <f>IF(D1=1,IF(D13=1,"",IF(D13=2,100,IF(D13=3,150,""))),IF(AND(D1=2,D13=3),150,IF(AND(D1=3,D13=4),250,IF(AND(D1=2,D13=4),250,""))))</f>
        <v/>
      </c>
      <c r="C31" s="68" t="str">
        <f>IF(D1=1,IF(D13=1,"",IF(D13=2,15.675,IF(D13=3,22.375,""))),IF(AND(D1=2,D13=3),22.375,IF(AND(D1=3,D13=4),23.275,IF(AND(D1=2,D13=4),23.275,""))))</f>
        <v/>
      </c>
    </row>
    <row r="33" spans="1:3" x14ac:dyDescent="0.2">
      <c r="A33" s="68" t="s">
        <v>305</v>
      </c>
    </row>
    <row r="34" spans="1:3" x14ac:dyDescent="0.2">
      <c r="A34" s="72" t="s">
        <v>213</v>
      </c>
      <c r="B34" s="68">
        <v>68</v>
      </c>
      <c r="C34" s="68">
        <v>21.4</v>
      </c>
    </row>
    <row r="35" spans="1:3" x14ac:dyDescent="0.2">
      <c r="A35" s="68" t="s">
        <v>214</v>
      </c>
      <c r="B35" s="68">
        <v>110</v>
      </c>
      <c r="C35" s="68">
        <v>50.22</v>
      </c>
    </row>
    <row r="36" spans="1:3" x14ac:dyDescent="0.2">
      <c r="A36" s="68" t="s">
        <v>215</v>
      </c>
      <c r="B36" s="68">
        <v>210</v>
      </c>
      <c r="C36" s="68">
        <v>54</v>
      </c>
    </row>
    <row r="37" spans="1:3" x14ac:dyDescent="0.2">
      <c r="A37" s="68" t="s">
        <v>216</v>
      </c>
      <c r="B37" s="68">
        <v>350</v>
      </c>
      <c r="C37" s="68">
        <v>57.76</v>
      </c>
    </row>
    <row r="40" spans="1:3" x14ac:dyDescent="0.2">
      <c r="A40" s="68" t="s">
        <v>306</v>
      </c>
    </row>
    <row r="41" spans="1:3" x14ac:dyDescent="0.2">
      <c r="A41" s="68">
        <v>9000</v>
      </c>
      <c r="B41" s="68">
        <v>16000</v>
      </c>
      <c r="C41" s="68">
        <v>13000</v>
      </c>
    </row>
    <row r="43" spans="1:3" x14ac:dyDescent="0.2">
      <c r="A43" s="68" t="s">
        <v>300</v>
      </c>
    </row>
    <row r="44" spans="1:3" x14ac:dyDescent="0.2">
      <c r="A44" s="68">
        <f>INDEX(Sustitución!C13:C16,Sustitución!D13,1)</f>
        <v>0</v>
      </c>
      <c r="B44" s="68">
        <f>INDEX(Sustitución!C34:C37,MATCH('6. MAE Sustitucion'!I10,Sustitución!A34:A37,0),1)</f>
        <v>54</v>
      </c>
      <c r="C44" s="68">
        <f>IF(D1=1,INDEX(C7:C10,D13,1),IF(D1=2,INDEX(C19:C22,D13,1),IF(AND(Sustitución!D1=3,OR(Sustitución!D13=2,Sustitución!D13=3,Sustitución!D13=4)=TRUE)=TRUE,INDEX(Sustitución!C25:C27,(Sustitución!D13-1),1),0)))</f>
        <v>0</v>
      </c>
    </row>
    <row r="45" spans="1:3" x14ac:dyDescent="0.2">
      <c r="C45" s="68" t="str">
        <f>INDEX(Sustitución!C30:C31,Sustitución!D30,1)</f>
        <v/>
      </c>
    </row>
    <row r="48" spans="1:3" x14ac:dyDescent="0.2">
      <c r="A48" s="68" t="s">
        <v>307</v>
      </c>
      <c r="B48" s="68" t="s">
        <v>217</v>
      </c>
      <c r="C48" s="68" t="s">
        <v>265</v>
      </c>
    </row>
    <row r="49" spans="1:4" x14ac:dyDescent="0.2">
      <c r="A49" s="68" t="s">
        <v>209</v>
      </c>
      <c r="B49" s="68">
        <v>33.9</v>
      </c>
      <c r="C49" s="68">
        <v>0</v>
      </c>
      <c r="D49" s="68">
        <f>IF(OR(D1=1,D1=2)=TRUE,INDEX(B49:B52,D13,1),INDEX(C49:C52,D13,1))</f>
        <v>41.8</v>
      </c>
    </row>
    <row r="50" spans="1:4" x14ac:dyDescent="0.2">
      <c r="A50" s="68" t="s">
        <v>210</v>
      </c>
      <c r="B50" s="68">
        <v>33.9</v>
      </c>
      <c r="C50" s="68">
        <v>0</v>
      </c>
    </row>
    <row r="51" spans="1:4" x14ac:dyDescent="0.2">
      <c r="A51" s="68" t="s">
        <v>211</v>
      </c>
      <c r="B51" s="68">
        <v>40.35</v>
      </c>
      <c r="C51" s="68">
        <v>41.8</v>
      </c>
    </row>
    <row r="52" spans="1:4" x14ac:dyDescent="0.2">
      <c r="A52" s="68" t="s">
        <v>212</v>
      </c>
      <c r="B52" s="68">
        <v>40.950000000000003</v>
      </c>
      <c r="C52" s="68">
        <v>47.45</v>
      </c>
    </row>
  </sheetData>
  <pageMargins left="0.78740157499999996" right="0.78740157499999996" top="0.984251969" bottom="0.984251969" header="0.4921259845" footer="0.492125984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1. Datos de entrada</vt:lpstr>
      <vt:lpstr>2. MAE Evaluación general</vt:lpstr>
      <vt:lpstr>3. MAE Apagado lámparas</vt:lpstr>
      <vt:lpstr>4. MAE Detector presencia</vt:lpstr>
      <vt:lpstr>detector presencia</vt:lpstr>
      <vt:lpstr>5. MAE Retrofit</vt:lpstr>
      <vt:lpstr>Retrofit</vt:lpstr>
      <vt:lpstr>6. MAE Sustitucion</vt:lpstr>
      <vt:lpstr>Sustitución</vt:lpstr>
      <vt:lpstr>Hoja6</vt:lpstr>
      <vt:lpstr>'1. Datos de entrada'!Área_de_impresión</vt:lpstr>
      <vt:lpstr>'2. MAE Evaluación general'!Área_de_impresión</vt:lpstr>
      <vt:lpstr>'3. MAE Apagado lámparas'!Área_de_impresión</vt:lpstr>
      <vt:lpstr>'4. MAE Detector presencia'!Área_de_impresión</vt:lpstr>
      <vt:lpstr>'5. MAE Retrofit'!Área_de_impresión</vt:lpstr>
      <vt:lpstr>'6. MAE Sustitucion'!Área_de_impresión</vt:lpstr>
      <vt:lpstr>'detector presencia'!Área_de_impresión</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Nadege Richards</dc:creator>
  <cp:lastModifiedBy>Nadege</cp:lastModifiedBy>
  <cp:lastPrinted>2015-07-10T18:09:49Z</cp:lastPrinted>
  <dcterms:created xsi:type="dcterms:W3CDTF">2015-05-02T16:23:14Z</dcterms:created>
  <dcterms:modified xsi:type="dcterms:W3CDTF">2015-07-22T05:11:06Z</dcterms:modified>
</cp:coreProperties>
</file>